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22932" windowHeight="9744"/>
  </bookViews>
  <sheets>
    <sheet name="TCO" sheetId="3" r:id="rId1"/>
    <sheet name="petrol-diesel" sheetId="1" r:id="rId2"/>
  </sheets>
  <calcPr calcId="125725"/>
</workbook>
</file>

<file path=xl/calcChain.xml><?xml version="1.0" encoding="utf-8"?>
<calcChain xmlns="http://schemas.openxmlformats.org/spreadsheetml/2006/main">
  <c r="Z17" i="3"/>
  <c r="AA17" s="1"/>
  <c r="T17"/>
  <c r="R17"/>
  <c r="L17" s="1"/>
  <c r="M17" s="1"/>
  <c r="P17"/>
  <c r="AG17" s="1"/>
  <c r="O17"/>
  <c r="G17"/>
  <c r="I17" s="1"/>
  <c r="J17" s="1"/>
  <c r="K17" s="1"/>
  <c r="Z15"/>
  <c r="AA15" s="1"/>
  <c r="S15"/>
  <c r="T15" s="1"/>
  <c r="U15" s="1"/>
  <c r="V15" s="1"/>
  <c r="W15" s="1"/>
  <c r="R15"/>
  <c r="P15"/>
  <c r="AG15" s="1"/>
  <c r="O15"/>
  <c r="G15"/>
  <c r="I15" s="1"/>
  <c r="J15" s="1"/>
  <c r="K15" s="1"/>
  <c r="Z11"/>
  <c r="AA11" s="1"/>
  <c r="AB11" s="1"/>
  <c r="S11"/>
  <c r="T11" s="1"/>
  <c r="U11" s="1"/>
  <c r="V11" s="1"/>
  <c r="W11" s="1"/>
  <c r="R11"/>
  <c r="P11"/>
  <c r="AG11" s="1"/>
  <c r="O11"/>
  <c r="G11"/>
  <c r="I11" s="1"/>
  <c r="J11" s="1"/>
  <c r="K11" s="1"/>
  <c r="Z16"/>
  <c r="AA16" s="1"/>
  <c r="S16"/>
  <c r="T16" s="1"/>
  <c r="U16" s="1"/>
  <c r="V16" s="1"/>
  <c r="W16" s="1"/>
  <c r="R16"/>
  <c r="P16"/>
  <c r="AG16" s="1"/>
  <c r="O16"/>
  <c r="G16"/>
  <c r="I16" s="1"/>
  <c r="J16" s="1"/>
  <c r="K16" s="1"/>
  <c r="Z14"/>
  <c r="AA14" s="1"/>
  <c r="T14"/>
  <c r="U14" s="1"/>
  <c r="V14" s="1"/>
  <c r="W14" s="1"/>
  <c r="R14"/>
  <c r="L14" s="1"/>
  <c r="M14" s="1"/>
  <c r="P14"/>
  <c r="AG14" s="1"/>
  <c r="O14"/>
  <c r="G14"/>
  <c r="I14" s="1"/>
  <c r="J14" s="1"/>
  <c r="K14" s="1"/>
  <c r="Z13"/>
  <c r="T13"/>
  <c r="U13" s="1"/>
  <c r="V13" s="1"/>
  <c r="W13" s="1"/>
  <c r="R13"/>
  <c r="L13" s="1"/>
  <c r="M13" s="1"/>
  <c r="P13"/>
  <c r="AG13" s="1"/>
  <c r="O13"/>
  <c r="G13"/>
  <c r="I13" s="1"/>
  <c r="J13" s="1"/>
  <c r="K13" s="1"/>
  <c r="Z10"/>
  <c r="AA10" s="1"/>
  <c r="S10"/>
  <c r="T10" s="1"/>
  <c r="R10"/>
  <c r="P10"/>
  <c r="AG10" s="1"/>
  <c r="O10"/>
  <c r="G10"/>
  <c r="I10" s="1"/>
  <c r="J10" s="1"/>
  <c r="K10" s="1"/>
  <c r="Z6"/>
  <c r="AA6" s="1"/>
  <c r="S6"/>
  <c r="T6" s="1"/>
  <c r="U6" s="1"/>
  <c r="V6" s="1"/>
  <c r="W6" s="1"/>
  <c r="R6"/>
  <c r="P6"/>
  <c r="AG6" s="1"/>
  <c r="O6"/>
  <c r="G6"/>
  <c r="I6" s="1"/>
  <c r="J6" s="1"/>
  <c r="K6" s="1"/>
  <c r="Z9"/>
  <c r="AA9" s="1"/>
  <c r="S9"/>
  <c r="T9" s="1"/>
  <c r="R9"/>
  <c r="P9"/>
  <c r="AG9" s="1"/>
  <c r="O9"/>
  <c r="G9"/>
  <c r="I9" s="1"/>
  <c r="J9" s="1"/>
  <c r="K9" s="1"/>
  <c r="Z7"/>
  <c r="AA7" s="1"/>
  <c r="S7"/>
  <c r="T7" s="1"/>
  <c r="R7"/>
  <c r="P7"/>
  <c r="AG7" s="1"/>
  <c r="O7"/>
  <c r="G7"/>
  <c r="I7" s="1"/>
  <c r="J7" s="1"/>
  <c r="K7" s="1"/>
  <c r="Z12"/>
  <c r="AA12" s="1"/>
  <c r="T12"/>
  <c r="R12"/>
  <c r="L12" s="1"/>
  <c r="M12" s="1"/>
  <c r="P12"/>
  <c r="AG12" s="1"/>
  <c r="O12"/>
  <c r="G12"/>
  <c r="I12" s="1"/>
  <c r="J12" s="1"/>
  <c r="K12" s="1"/>
  <c r="AF12" s="1"/>
  <c r="Z8"/>
  <c r="AA8" s="1"/>
  <c r="S8"/>
  <c r="R8"/>
  <c r="P8"/>
  <c r="AG8" s="1"/>
  <c r="O8"/>
  <c r="G8"/>
  <c r="I8" s="1"/>
  <c r="J8" s="1"/>
  <c r="K8" s="1"/>
  <c r="B15" i="1"/>
  <c r="C15"/>
  <c r="B7"/>
  <c r="C7"/>
  <c r="B8"/>
  <c r="C8"/>
  <c r="B9"/>
  <c r="C9"/>
  <c r="B10"/>
  <c r="C10"/>
  <c r="B11"/>
  <c r="C11"/>
  <c r="B12"/>
  <c r="C12"/>
  <c r="B13"/>
  <c r="C13"/>
  <c r="B14"/>
  <c r="C14"/>
  <c r="C6"/>
  <c r="C5"/>
  <c r="C4"/>
  <c r="B6"/>
  <c r="B5"/>
  <c r="B4"/>
  <c r="L15" i="3" l="1"/>
  <c r="M15" s="1"/>
  <c r="L9"/>
  <c r="M9" s="1"/>
  <c r="L11"/>
  <c r="M11" s="1"/>
  <c r="L10"/>
  <c r="M10" s="1"/>
  <c r="AB14"/>
  <c r="AC14" s="1"/>
  <c r="AD14" s="1"/>
  <c r="AB17"/>
  <c r="AC17" s="1"/>
  <c r="AB6"/>
  <c r="AB7"/>
  <c r="AC7"/>
  <c r="L16"/>
  <c r="M16" s="1"/>
  <c r="AB8"/>
  <c r="U12"/>
  <c r="L7"/>
  <c r="M7" s="1"/>
  <c r="U9"/>
  <c r="L6"/>
  <c r="M6" s="1"/>
  <c r="U10"/>
  <c r="V10" s="1"/>
  <c r="W10" s="1"/>
  <c r="AC11"/>
  <c r="U17"/>
  <c r="V17" s="1"/>
  <c r="W17" s="1"/>
  <c r="AF17"/>
  <c r="AF9"/>
  <c r="AF10"/>
  <c r="AF11"/>
  <c r="AF16"/>
  <c r="AF15"/>
  <c r="AF8"/>
  <c r="AF7"/>
  <c r="AF6"/>
  <c r="AF13"/>
  <c r="AF14"/>
  <c r="X13"/>
  <c r="AH13" s="1"/>
  <c r="X16"/>
  <c r="Y16" s="1"/>
  <c r="X15"/>
  <c r="AH15" s="1"/>
  <c r="X6"/>
  <c r="Y6" s="1"/>
  <c r="X14"/>
  <c r="Y14" s="1"/>
  <c r="X11"/>
  <c r="AH11" s="1"/>
  <c r="L8"/>
  <c r="M8" s="1"/>
  <c r="T8"/>
  <c r="U8" s="1"/>
  <c r="AB12"/>
  <c r="U7"/>
  <c r="AB9"/>
  <c r="AC9" s="1"/>
  <c r="AD9" s="1"/>
  <c r="AB10"/>
  <c r="AC10" s="1"/>
  <c r="AA13"/>
  <c r="AB16"/>
  <c r="AB15"/>
  <c r="D10" i="1"/>
  <c r="D6"/>
  <c r="D13"/>
  <c r="D9"/>
  <c r="D5"/>
  <c r="D14"/>
  <c r="D7"/>
  <c r="D4"/>
  <c r="D11"/>
  <c r="D8"/>
  <c r="D15"/>
  <c r="D12"/>
  <c r="V7" i="3" l="1"/>
  <c r="W7" s="1"/>
  <c r="V12"/>
  <c r="W12" s="1"/>
  <c r="V8"/>
  <c r="W8" s="1"/>
  <c r="V9"/>
  <c r="W9" s="1"/>
  <c r="AD7"/>
  <c r="AE7" s="1"/>
  <c r="AL7" s="1"/>
  <c r="AP7" s="1"/>
  <c r="AH14"/>
  <c r="AC6"/>
  <c r="AD6" s="1"/>
  <c r="AE6" s="1"/>
  <c r="AL6" s="1"/>
  <c r="AP6" s="1"/>
  <c r="AC8"/>
  <c r="AD8" s="1"/>
  <c r="AE8" s="1"/>
  <c r="AL8" s="1"/>
  <c r="AP8" s="1"/>
  <c r="AH16"/>
  <c r="X10"/>
  <c r="Y10" s="1"/>
  <c r="AE14"/>
  <c r="AD11"/>
  <c r="AE11" s="1"/>
  <c r="X17"/>
  <c r="AC15"/>
  <c r="AD15" s="1"/>
  <c r="AB13"/>
  <c r="AC13" s="1"/>
  <c r="AD13" s="1"/>
  <c r="AE13" s="1"/>
  <c r="AD17"/>
  <c r="AE17" s="1"/>
  <c r="AD10"/>
  <c r="AE10" s="1"/>
  <c r="Y13"/>
  <c r="Y15"/>
  <c r="AE9"/>
  <c r="Y11"/>
  <c r="AC12"/>
  <c r="AD12" s="1"/>
  <c r="AC16"/>
  <c r="AD16" s="1"/>
  <c r="AH6"/>
  <c r="X7" l="1"/>
  <c r="AH7" s="1"/>
  <c r="AJ7" s="1"/>
  <c r="X12"/>
  <c r="AH12" s="1"/>
  <c r="AQ7"/>
  <c r="AQ6"/>
  <c r="AS6"/>
  <c r="AR6"/>
  <c r="X8"/>
  <c r="AQ8"/>
  <c r="X9"/>
  <c r="Y9" s="1"/>
  <c r="AH10"/>
  <c r="AJ10" s="1"/>
  <c r="AK10" s="1"/>
  <c r="AJ6"/>
  <c r="AK6" s="1"/>
  <c r="AN6" s="1"/>
  <c r="AL11"/>
  <c r="AP11" s="1"/>
  <c r="AJ11"/>
  <c r="AK11" s="1"/>
  <c r="AJ14"/>
  <c r="AK14" s="1"/>
  <c r="AN14" s="1"/>
  <c r="AL14"/>
  <c r="AP14" s="1"/>
  <c r="AE15"/>
  <c r="AH17"/>
  <c r="AJ17" s="1"/>
  <c r="Y17"/>
  <c r="AL17"/>
  <c r="AP17" s="1"/>
  <c r="AL13"/>
  <c r="AP13" s="1"/>
  <c r="AJ13"/>
  <c r="AK13" s="1"/>
  <c r="AL9"/>
  <c r="AP9" s="1"/>
  <c r="AE16"/>
  <c r="Y8"/>
  <c r="AH8"/>
  <c r="AJ8" s="1"/>
  <c r="AL10"/>
  <c r="AP10" s="1"/>
  <c r="AE12"/>
  <c r="Y7" l="1"/>
  <c r="AK7" s="1"/>
  <c r="AH9"/>
  <c r="AJ9" s="1"/>
  <c r="AK9" s="1"/>
  <c r="AN9" s="1"/>
  <c r="Y12"/>
  <c r="AQ17"/>
  <c r="AQ10"/>
  <c r="AR10" s="1"/>
  <c r="AS10" s="1"/>
  <c r="AQ9"/>
  <c r="AR9" s="1"/>
  <c r="AT6"/>
  <c r="AR7"/>
  <c r="AQ13"/>
  <c r="AR13" s="1"/>
  <c r="AQ14"/>
  <c r="AR14" s="1"/>
  <c r="AR8"/>
  <c r="AS8" s="1"/>
  <c r="AQ11"/>
  <c r="AR11" s="1"/>
  <c r="AK17"/>
  <c r="AN17" s="1"/>
  <c r="AL15"/>
  <c r="AP15" s="1"/>
  <c r="AJ15"/>
  <c r="AK15" s="1"/>
  <c r="AN15" s="1"/>
  <c r="AN13"/>
  <c r="AN10"/>
  <c r="AL12"/>
  <c r="AP12" s="1"/>
  <c r="AJ12"/>
  <c r="AK8"/>
  <c r="AN11"/>
  <c r="AL16"/>
  <c r="AP16" s="1"/>
  <c r="AJ16"/>
  <c r="AK16" s="1"/>
  <c r="AV6" l="1"/>
  <c r="AW6" s="1"/>
  <c r="AX6" s="1"/>
  <c r="AU6"/>
  <c r="AK12"/>
  <c r="AT10"/>
  <c r="AU10" s="1"/>
  <c r="AV10" s="1"/>
  <c r="AW10" s="1"/>
  <c r="AX10" s="1"/>
  <c r="AS9"/>
  <c r="AT9" s="1"/>
  <c r="AS7"/>
  <c r="AS14"/>
  <c r="AT14" s="1"/>
  <c r="AR17"/>
  <c r="AS17" s="1"/>
  <c r="AT17" s="1"/>
  <c r="AQ12"/>
  <c r="AR12" s="1"/>
  <c r="AT8"/>
  <c r="AQ16"/>
  <c r="AS13"/>
  <c r="AT13" s="1"/>
  <c r="AR15"/>
  <c r="AQ15"/>
  <c r="AS11"/>
  <c r="AT11" s="1"/>
  <c r="AU11" s="1"/>
  <c r="AN7"/>
  <c r="AN8"/>
  <c r="AN16"/>
  <c r="AN12"/>
  <c r="AU14" l="1"/>
  <c r="AV14" s="1"/>
  <c r="AW14" s="1"/>
  <c r="AX14" s="1"/>
  <c r="AS15"/>
  <c r="AT15" s="1"/>
  <c r="AT7"/>
  <c r="AU7" s="1"/>
  <c r="AU8"/>
  <c r="AV8" s="1"/>
  <c r="AW8" s="1"/>
  <c r="AX8" s="1"/>
  <c r="AU17"/>
  <c r="AV17" s="1"/>
  <c r="AW17" s="1"/>
  <c r="AX17" s="1"/>
  <c r="AS12"/>
  <c r="AT12" s="1"/>
  <c r="AU9"/>
  <c r="AV9" s="1"/>
  <c r="AW9" s="1"/>
  <c r="AX9" s="1"/>
  <c r="AV11"/>
  <c r="AW11" s="1"/>
  <c r="AX11" s="1"/>
  <c r="AU15"/>
  <c r="AV15" s="1"/>
  <c r="AW15" s="1"/>
  <c r="AX15" s="1"/>
  <c r="AU13"/>
  <c r="AV13" s="1"/>
  <c r="AW13" s="1"/>
  <c r="AX13" s="1"/>
  <c r="AR16"/>
  <c r="AS16" s="1"/>
  <c r="AU12" l="1"/>
  <c r="AV12" s="1"/>
  <c r="AW12" s="1"/>
  <c r="AX12" s="1"/>
  <c r="AV7"/>
  <c r="AW7" s="1"/>
  <c r="AX7" s="1"/>
  <c r="AT16"/>
  <c r="AU16" s="1"/>
  <c r="AV16" l="1"/>
  <c r="AW16" s="1"/>
  <c r="AX16" s="1"/>
</calcChain>
</file>

<file path=xl/comments1.xml><?xml version="1.0" encoding="utf-8"?>
<comments xmlns="http://schemas.openxmlformats.org/spreadsheetml/2006/main">
  <authors>
    <author>user</author>
  </authors>
  <commentList>
    <comment ref="AL4" authorId="0">
      <text>
        <r>
          <rPr>
            <b/>
            <sz val="9"/>
            <color indexed="81"/>
            <rFont val="Tahoma"/>
            <family val="2"/>
          </rPr>
          <t>for biz/pros:
carry over depreciation
= Old Car WDV
+ New Car Price
- Old Car Sale Price
eg 1: (low resale car Linea petrol)
Old Car WDV: 4L
Add New Car: 9L
Total: 13L
Less Sale of Old Car: 3L
Carry over WDV = 10L
1st yr dpr=15% of 10L=1.5L
eg2: (high resale car Honda City)
Old Car WDV: 4L
Add New Car: 9L
Total: 13L
Less Sale of Old Car: 5L
Carry over WDV = 8L
1st yr dpr=15% of 8L=1.2L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A=P*(r*((1+r)^n))/(((1+r)^n)-1)</t>
        </r>
      </text>
    </comment>
  </commentList>
</comments>
</file>

<file path=xl/sharedStrings.xml><?xml version="1.0" encoding="utf-8"?>
<sst xmlns="http://schemas.openxmlformats.org/spreadsheetml/2006/main" count="120" uniqueCount="81">
  <si>
    <t>value</t>
  </si>
  <si>
    <t>price</t>
  </si>
  <si>
    <t>petrol</t>
  </si>
  <si>
    <t>diesel</t>
  </si>
  <si>
    <t>cost</t>
  </si>
  <si>
    <t>mileage</t>
  </si>
  <si>
    <t>car</t>
  </si>
  <si>
    <t>price of</t>
  </si>
  <si>
    <t>loan</t>
  </si>
  <si>
    <t>name</t>
  </si>
  <si>
    <t>kmpl</t>
  </si>
  <si>
    <t>amount</t>
  </si>
  <si>
    <t>showroom</t>
  </si>
  <si>
    <t>emi</t>
  </si>
  <si>
    <t>fuel</t>
  </si>
  <si>
    <t>Rs</t>
  </si>
  <si>
    <t>rate</t>
  </si>
  <si>
    <t>loan int</t>
  </si>
  <si>
    <t>rpm</t>
  </si>
  <si>
    <t>dep#1</t>
  </si>
  <si>
    <t>dep#2</t>
  </si>
  <si>
    <t>dep#3</t>
  </si>
  <si>
    <t>dep#4</t>
  </si>
  <si>
    <t>dep#5</t>
  </si>
  <si>
    <t>city smt</t>
  </si>
  <si>
    <t>servicing</t>
  </si>
  <si>
    <t>spares &amp;</t>
  </si>
  <si>
    <t>claimed</t>
  </si>
  <si>
    <t>running</t>
  </si>
  <si>
    <t>total repay</t>
  </si>
  <si>
    <t>tax%</t>
  </si>
  <si>
    <t>benefit</t>
  </si>
  <si>
    <t>city vmt</t>
  </si>
  <si>
    <t>road</t>
  </si>
  <si>
    <t>tax</t>
  </si>
  <si>
    <t>insurance</t>
  </si>
  <si>
    <t>ins#1</t>
  </si>
  <si>
    <t>ins#2</t>
  </si>
  <si>
    <t>ins#3</t>
  </si>
  <si>
    <t>ins#4</t>
  </si>
  <si>
    <t>ins#5</t>
  </si>
  <si>
    <t>OTR</t>
  </si>
  <si>
    <t>TCO</t>
  </si>
  <si>
    <t>total 5 yrs</t>
  </si>
  <si>
    <t>NET TCO</t>
  </si>
  <si>
    <t>after sale</t>
  </si>
  <si>
    <t>litres</t>
  </si>
  <si>
    <t>running costs</t>
  </si>
  <si>
    <t>SALARIED</t>
  </si>
  <si>
    <t>BUSINESS / PROFESSIONAL</t>
  </si>
  <si>
    <t>tax benefits</t>
  </si>
  <si>
    <t>5 YR TIMEFRAME</t>
  </si>
  <si>
    <t>TCO AFTER SALE</t>
  </si>
  <si>
    <t>Down</t>
  </si>
  <si>
    <t>sx4 zxi</t>
  </si>
  <si>
    <t>fiesta sxi</t>
  </si>
  <si>
    <t>cedia</t>
  </si>
  <si>
    <t>optra ls</t>
  </si>
  <si>
    <t>city vat</t>
  </si>
  <si>
    <t>sx4 zxi at</t>
  </si>
  <si>
    <t>tax+ins</t>
  </si>
  <si>
    <t>paymt</t>
  </si>
  <si>
    <t>kms</t>
  </si>
  <si>
    <t>deprec</t>
  </si>
  <si>
    <t>mths</t>
  </si>
  <si>
    <t>tot int</t>
  </si>
  <si>
    <t>sale</t>
  </si>
  <si>
    <t>depreciat</t>
  </si>
  <si>
    <t>linea e+</t>
  </si>
  <si>
    <t>linea e</t>
  </si>
  <si>
    <t>Car TCO calculator, with most intangibles, for salaried and professionals, with a 5 year timeframe</t>
  </si>
  <si>
    <t>you can fill in values in these cols</t>
  </si>
  <si>
    <t>FUEL</t>
  </si>
  <si>
    <t xml:space="preserve">cost of </t>
  </si>
  <si>
    <t>new car</t>
  </si>
  <si>
    <t>WDV</t>
  </si>
  <si>
    <t>5 yr dep</t>
  </si>
  <si>
    <t>tax saved</t>
  </si>
  <si>
    <t xml:space="preserve">new </t>
  </si>
  <si>
    <t>everyone thinks it is here</t>
  </si>
  <si>
    <t>&lt;- hmmm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</si>
</sst>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rgb="FF00B050"/>
      <name val="Tahoma"/>
      <family val="2"/>
    </font>
    <font>
      <b/>
      <sz val="7"/>
      <name val="Tahoma"/>
      <family val="2"/>
    </font>
    <font>
      <b/>
      <sz val="7"/>
      <color rgb="FF7030A0"/>
      <name val="Tahoma"/>
      <family val="2"/>
    </font>
    <font>
      <sz val="7"/>
      <color theme="1"/>
      <name val="Tahoma"/>
      <family val="2"/>
    </font>
    <font>
      <sz val="7"/>
      <color rgb="FFFF0000"/>
      <name val="Tahoma"/>
      <family val="2"/>
    </font>
    <font>
      <b/>
      <sz val="7"/>
      <color theme="1"/>
      <name val="Tahoma"/>
      <family val="2"/>
    </font>
    <font>
      <sz val="7"/>
      <color rgb="FF0070C0"/>
      <name val="Tahoma"/>
      <family val="2"/>
    </font>
    <font>
      <b/>
      <sz val="7"/>
      <color rgb="FFFF0000"/>
      <name val="Tahoma"/>
      <family val="2"/>
    </font>
    <font>
      <b/>
      <sz val="7"/>
      <color rgb="FF0070C0"/>
      <name val="Tahoma"/>
      <family val="2"/>
    </font>
    <font>
      <sz val="7"/>
      <color rgb="FF7030A0"/>
      <name val="Tahoma"/>
      <family val="2"/>
    </font>
    <font>
      <sz val="7"/>
      <color rgb="FFC00000"/>
      <name val="Tahoma"/>
      <family val="2"/>
    </font>
    <font>
      <sz val="7"/>
      <color theme="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9" xfId="0" applyFont="1" applyBorder="1" applyAlignment="1"/>
    <xf numFmtId="3" fontId="3" fillId="0" borderId="12" xfId="0" applyNumberFormat="1" applyFont="1" applyBorder="1" applyAlignment="1"/>
    <xf numFmtId="0" fontId="5" fillId="0" borderId="21" xfId="0" applyFont="1" applyBorder="1" applyAlignment="1"/>
    <xf numFmtId="0" fontId="6" fillId="0" borderId="0" xfId="0" applyFont="1"/>
    <xf numFmtId="0" fontId="6" fillId="2" borderId="2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4" fontId="6" fillId="0" borderId="12" xfId="0" applyNumberFormat="1" applyFont="1" applyBorder="1"/>
    <xf numFmtId="2" fontId="6" fillId="2" borderId="14" xfId="0" applyNumberFormat="1" applyFont="1" applyFill="1" applyBorder="1"/>
    <xf numFmtId="3" fontId="6" fillId="0" borderId="0" xfId="0" applyNumberFormat="1" applyFont="1" applyFill="1"/>
    <xf numFmtId="164" fontId="6" fillId="0" borderId="0" xfId="0" applyNumberFormat="1" applyFont="1"/>
    <xf numFmtId="3" fontId="6" fillId="0" borderId="5" xfId="0" applyNumberFormat="1" applyFont="1" applyBorder="1"/>
    <xf numFmtId="3" fontId="7" fillId="0" borderId="5" xfId="0" applyNumberFormat="1" applyFont="1" applyBorder="1"/>
    <xf numFmtId="0" fontId="8" fillId="0" borderId="3" xfId="0" applyFont="1" applyBorder="1" applyAlignment="1"/>
    <xf numFmtId="0" fontId="8" fillId="0" borderId="14" xfId="0" applyFont="1" applyBorder="1" applyAlignment="1"/>
    <xf numFmtId="3" fontId="8" fillId="0" borderId="3" xfId="0" applyNumberFormat="1" applyFont="1" applyBorder="1" applyAlignment="1"/>
    <xf numFmtId="0" fontId="5" fillId="0" borderId="20" xfId="0" applyFont="1" applyBorder="1" applyAlignment="1"/>
    <xf numFmtId="0" fontId="6" fillId="0" borderId="5" xfId="0" applyFont="1" applyBorder="1"/>
    <xf numFmtId="0" fontId="6" fillId="2" borderId="4" xfId="0" applyFont="1" applyFill="1" applyBorder="1"/>
    <xf numFmtId="3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/>
    <xf numFmtId="2" fontId="6" fillId="2" borderId="6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0" fontId="8" fillId="0" borderId="15" xfId="0" applyFont="1" applyBorder="1" applyAlignment="1"/>
    <xf numFmtId="0" fontId="8" fillId="0" borderId="10" xfId="0" applyFont="1" applyBorder="1" applyAlignment="1"/>
    <xf numFmtId="0" fontId="10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3" fontId="6" fillId="0" borderId="0" xfId="0" applyNumberFormat="1" applyFont="1"/>
    <xf numFmtId="2" fontId="6" fillId="0" borderId="5" xfId="0" applyNumberFormat="1" applyFont="1" applyBorder="1"/>
    <xf numFmtId="3" fontId="9" fillId="0" borderId="5" xfId="0" applyNumberFormat="1" applyFont="1" applyBorder="1"/>
    <xf numFmtId="0" fontId="12" fillId="0" borderId="24" xfId="0" applyFont="1" applyBorder="1"/>
    <xf numFmtId="3" fontId="12" fillId="0" borderId="24" xfId="0" applyNumberFormat="1" applyFont="1" applyBorder="1"/>
    <xf numFmtId="0" fontId="13" fillId="0" borderId="5" xfId="0" applyFont="1" applyBorder="1"/>
    <xf numFmtId="4" fontId="6" fillId="0" borderId="0" xfId="0" applyNumberFormat="1" applyFont="1"/>
    <xf numFmtId="0" fontId="7" fillId="0" borderId="5" xfId="0" applyFont="1" applyBorder="1"/>
    <xf numFmtId="0" fontId="13" fillId="0" borderId="1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8" fillId="0" borderId="5" xfId="0" applyNumberFormat="1" applyFont="1" applyBorder="1"/>
    <xf numFmtId="3" fontId="8" fillId="0" borderId="24" xfId="0" applyNumberFormat="1" applyFont="1" applyBorder="1"/>
    <xf numFmtId="2" fontId="14" fillId="0" borderId="5" xfId="0" applyNumberFormat="1" applyFont="1" applyBorder="1"/>
    <xf numFmtId="3" fontId="8" fillId="0" borderId="6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8" fillId="0" borderId="0" xfId="0" applyFont="1" applyBorder="1" applyAlignment="1"/>
    <xf numFmtId="3" fontId="6" fillId="0" borderId="0" xfId="0" applyNumberFormat="1" applyFont="1" applyBorder="1"/>
    <xf numFmtId="0" fontId="3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4" fillId="0" borderId="5" xfId="0" applyNumberFormat="1" applyFont="1" applyBorder="1"/>
    <xf numFmtId="3" fontId="6" fillId="5" borderId="7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3" fontId="1" fillId="4" borderId="0" xfId="0" applyNumberFormat="1" applyFont="1" applyFill="1"/>
    <xf numFmtId="0" fontId="1" fillId="6" borderId="0" xfId="0" applyFont="1" applyFill="1"/>
    <xf numFmtId="3" fontId="1" fillId="6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FDC7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workbookViewId="0">
      <selection activeCell="A6" sqref="A6:A17"/>
    </sheetView>
  </sheetViews>
  <sheetFormatPr defaultColWidth="5.33203125" defaultRowHeight="8.4"/>
  <cols>
    <col min="1" max="1" width="6.33203125" style="11" customWidth="1"/>
    <col min="2" max="2" width="5.44140625" style="48" bestFit="1" customWidth="1"/>
    <col min="3" max="3" width="4.21875" style="48" bestFit="1" customWidth="1"/>
    <col min="4" max="4" width="3.6640625" style="49" bestFit="1" customWidth="1"/>
    <col min="5" max="5" width="5.88671875" style="48" bestFit="1" customWidth="1"/>
    <col min="6" max="6" width="2.88671875" style="11" bestFit="1" customWidth="1"/>
    <col min="7" max="7" width="4.44140625" style="17" bestFit="1" customWidth="1"/>
    <col min="8" max="8" width="3.6640625" style="11" bestFit="1" customWidth="1"/>
    <col min="9" max="9" width="4.44140625" style="11" bestFit="1" customWidth="1"/>
    <col min="10" max="10" width="6.6640625" style="11" bestFit="1" customWidth="1"/>
    <col min="11" max="11" width="5.21875" style="18" bestFit="1" customWidth="1"/>
    <col min="12" max="12" width="7.109375" style="19" bestFit="1" customWidth="1"/>
    <col min="13" max="13" width="6.5546875" style="19" bestFit="1" customWidth="1"/>
    <col min="14" max="14" width="4.44140625" style="48" bestFit="1" customWidth="1"/>
    <col min="15" max="15" width="3.77734375" style="48" bestFit="1" customWidth="1"/>
    <col min="16" max="16" width="5.44140625" style="48" bestFit="1" customWidth="1"/>
    <col min="17" max="17" width="6.109375" style="48" bestFit="1" customWidth="1"/>
    <col min="18" max="18" width="5" style="48" bestFit="1" customWidth="1"/>
    <col min="19" max="19" width="4.44140625" style="48" hidden="1" customWidth="1"/>
    <col min="20" max="20" width="4.21875" style="48" hidden="1" customWidth="1"/>
    <col min="21" max="23" width="4" style="48" hidden="1" customWidth="1"/>
    <col min="24" max="24" width="6.5546875" style="18" bestFit="1" customWidth="1"/>
    <col min="25" max="25" width="8.33203125" style="55" bestFit="1" customWidth="1"/>
    <col min="26" max="29" width="5.33203125" style="48" hidden="1" customWidth="1"/>
    <col min="30" max="30" width="5.44140625" style="48" hidden="1" customWidth="1"/>
    <col min="31" max="31" width="6.109375" style="11" bestFit="1" customWidth="1"/>
    <col min="32" max="32" width="5" style="11" bestFit="1" customWidth="1"/>
    <col min="33" max="33" width="5.44140625" style="11" bestFit="1" customWidth="1"/>
    <col min="34" max="34" width="5" style="11" bestFit="1" customWidth="1"/>
    <col min="35" max="35" width="3.5546875" style="11" bestFit="1" customWidth="1"/>
    <col min="36" max="36" width="6.5546875" style="50" bestFit="1" customWidth="1"/>
    <col min="37" max="37" width="7.109375" style="53" bestFit="1" customWidth="1"/>
    <col min="38" max="38" width="5.44140625" style="24" bestFit="1" customWidth="1"/>
    <col min="39" max="39" width="6.109375" style="51" customWidth="1"/>
    <col min="40" max="40" width="7.77734375" style="51" customWidth="1"/>
    <col min="41" max="41" width="5.88671875" style="48" bestFit="1" customWidth="1"/>
    <col min="42" max="42" width="5.6640625" style="48" bestFit="1" customWidth="1"/>
    <col min="43" max="46" width="5.33203125" style="48" hidden="1" customWidth="1"/>
    <col min="47" max="47" width="5.44140625" style="48" hidden="1" customWidth="1"/>
    <col min="48" max="48" width="6.109375" style="11" bestFit="1" customWidth="1"/>
    <col min="49" max="50" width="5.33203125" style="11"/>
    <col min="51" max="51" width="6.6640625" style="11" bestFit="1" customWidth="1"/>
    <col min="52" max="16384" width="5.33203125" style="11"/>
  </cols>
  <sheetData>
    <row r="1" spans="1:51" ht="13.2" customHeight="1" thickBot="1">
      <c r="A1" s="6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9"/>
      <c r="AK1" s="7"/>
      <c r="AL1" s="8"/>
      <c r="AM1" s="10"/>
      <c r="AN1" s="10"/>
      <c r="AP1" s="76"/>
      <c r="AQ1" s="77"/>
      <c r="AR1" s="77"/>
      <c r="AS1" s="77"/>
      <c r="AT1" s="77"/>
      <c r="AU1" s="77"/>
      <c r="AV1" s="77"/>
    </row>
    <row r="2" spans="1:51" ht="13.2" customHeight="1" thickBot="1">
      <c r="A2" s="12" t="s">
        <v>7</v>
      </c>
      <c r="B2" s="13" t="s">
        <v>2</v>
      </c>
      <c r="C2" s="14">
        <v>50</v>
      </c>
      <c r="D2" s="15" t="s">
        <v>15</v>
      </c>
      <c r="E2" s="16"/>
      <c r="N2" s="89" t="s">
        <v>51</v>
      </c>
      <c r="O2" s="90"/>
      <c r="P2" s="9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2"/>
      <c r="AK2" s="20"/>
      <c r="AL2" s="21"/>
      <c r="AM2" s="23"/>
      <c r="AN2" s="23"/>
      <c r="AQ2" s="75"/>
      <c r="AR2" s="75"/>
      <c r="AS2" s="75"/>
      <c r="AT2" s="75"/>
      <c r="AU2" s="75"/>
      <c r="AV2" s="75"/>
    </row>
    <row r="3" spans="1:51" ht="13.2" customHeight="1" thickBot="1">
      <c r="A3" s="25"/>
      <c r="B3" s="26" t="s">
        <v>3</v>
      </c>
      <c r="C3" s="27">
        <v>39</v>
      </c>
      <c r="D3" s="28" t="s">
        <v>15</v>
      </c>
      <c r="E3" s="29"/>
      <c r="F3" s="65" t="s">
        <v>71</v>
      </c>
      <c r="G3" s="66"/>
      <c r="H3" s="65"/>
      <c r="I3" s="65"/>
      <c r="J3" s="65"/>
      <c r="L3" s="30"/>
      <c r="M3" s="30"/>
      <c r="N3" s="91" t="s">
        <v>47</v>
      </c>
      <c r="O3" s="92"/>
      <c r="P3" s="92"/>
      <c r="Q3" s="92"/>
      <c r="R3" s="92"/>
      <c r="S3" s="92"/>
      <c r="T3" s="92"/>
      <c r="U3" s="92"/>
      <c r="V3" s="92"/>
      <c r="W3" s="92"/>
      <c r="X3" s="93"/>
      <c r="Y3" s="58" t="s">
        <v>48</v>
      </c>
      <c r="Z3" s="31"/>
      <c r="AA3" s="31"/>
      <c r="AB3" s="31"/>
      <c r="AC3" s="31"/>
      <c r="AD3" s="31"/>
      <c r="AE3" s="94" t="s">
        <v>49</v>
      </c>
      <c r="AF3" s="95"/>
      <c r="AG3" s="95"/>
      <c r="AH3" s="95"/>
      <c r="AI3" s="95"/>
      <c r="AJ3" s="95"/>
      <c r="AK3" s="95"/>
      <c r="AL3" s="96"/>
      <c r="AM3" s="78" t="s">
        <v>52</v>
      </c>
      <c r="AN3" s="79"/>
      <c r="AQ3" s="31"/>
      <c r="AR3" s="31"/>
      <c r="AS3" s="31"/>
      <c r="AT3" s="31"/>
      <c r="AU3" s="31"/>
      <c r="AV3" s="48"/>
    </row>
    <row r="4" spans="1:51" s="33" customFormat="1" ht="13.2" customHeight="1">
      <c r="A4" s="80" t="s">
        <v>6</v>
      </c>
      <c r="B4" s="81"/>
      <c r="C4" s="81"/>
      <c r="D4" s="82"/>
      <c r="E4" s="83" t="s">
        <v>8</v>
      </c>
      <c r="F4" s="84"/>
      <c r="G4" s="84"/>
      <c r="H4" s="84"/>
      <c r="I4" s="84"/>
      <c r="J4" s="84"/>
      <c r="K4" s="85"/>
      <c r="L4" s="32" t="s">
        <v>41</v>
      </c>
      <c r="M4" s="32" t="s">
        <v>53</v>
      </c>
      <c r="N4" s="97" t="s">
        <v>72</v>
      </c>
      <c r="O4" s="98"/>
      <c r="P4" s="98"/>
      <c r="Q4" s="70" t="s">
        <v>26</v>
      </c>
      <c r="R4" s="70" t="s">
        <v>33</v>
      </c>
      <c r="S4" s="34"/>
      <c r="T4" s="34"/>
      <c r="U4" s="34"/>
      <c r="V4" s="34"/>
      <c r="W4" s="34"/>
      <c r="X4" s="73" t="s">
        <v>35</v>
      </c>
      <c r="Y4" s="35"/>
      <c r="Z4" s="57"/>
      <c r="AA4" s="57"/>
      <c r="AB4" s="57"/>
      <c r="AC4" s="57"/>
      <c r="AD4" s="57"/>
      <c r="AE4" s="86" t="s">
        <v>50</v>
      </c>
      <c r="AF4" s="87"/>
      <c r="AG4" s="87"/>
      <c r="AH4" s="87"/>
      <c r="AI4" s="87"/>
      <c r="AJ4" s="88"/>
      <c r="AK4" s="56"/>
      <c r="AL4" s="36" t="s">
        <v>63</v>
      </c>
      <c r="AM4" s="71" t="s">
        <v>27</v>
      </c>
      <c r="AN4" s="37"/>
      <c r="AO4" s="100" t="s">
        <v>73</v>
      </c>
      <c r="AP4" s="34" t="s">
        <v>75</v>
      </c>
      <c r="AQ4" s="59"/>
      <c r="AR4" s="59"/>
      <c r="AS4" s="59"/>
      <c r="AT4" s="59"/>
      <c r="AU4" s="59"/>
      <c r="AV4" s="33" t="s">
        <v>76</v>
      </c>
      <c r="AW4" s="33" t="s">
        <v>77</v>
      </c>
      <c r="AX4" s="33" t="s">
        <v>78</v>
      </c>
    </row>
    <row r="5" spans="1:51" s="40" customFormat="1" ht="13.2" customHeight="1" thickBot="1">
      <c r="A5" s="69" t="s">
        <v>9</v>
      </c>
      <c r="B5" s="67" t="s">
        <v>12</v>
      </c>
      <c r="C5" s="67" t="s">
        <v>14</v>
      </c>
      <c r="D5" s="68" t="s">
        <v>10</v>
      </c>
      <c r="E5" s="67" t="s">
        <v>11</v>
      </c>
      <c r="F5" s="64" t="s">
        <v>16</v>
      </c>
      <c r="G5" s="41" t="s">
        <v>18</v>
      </c>
      <c r="H5" s="64" t="s">
        <v>64</v>
      </c>
      <c r="I5" s="40" t="s">
        <v>13</v>
      </c>
      <c r="J5" s="39" t="s">
        <v>29</v>
      </c>
      <c r="K5" s="42" t="s">
        <v>65</v>
      </c>
      <c r="L5" s="43" t="s">
        <v>1</v>
      </c>
      <c r="M5" s="43" t="s">
        <v>61</v>
      </c>
      <c r="N5" s="67" t="s">
        <v>62</v>
      </c>
      <c r="O5" s="39" t="s">
        <v>46</v>
      </c>
      <c r="P5" s="39" t="s">
        <v>4</v>
      </c>
      <c r="Q5" s="67" t="s">
        <v>25</v>
      </c>
      <c r="R5" s="67" t="s">
        <v>34</v>
      </c>
      <c r="S5" s="39" t="s">
        <v>36</v>
      </c>
      <c r="T5" s="39" t="s">
        <v>37</v>
      </c>
      <c r="U5" s="39" t="s">
        <v>38</v>
      </c>
      <c r="V5" s="39" t="s">
        <v>39</v>
      </c>
      <c r="W5" s="39" t="s">
        <v>40</v>
      </c>
      <c r="X5" s="44" t="s">
        <v>43</v>
      </c>
      <c r="Y5" s="45" t="s">
        <v>42</v>
      </c>
      <c r="Z5" s="40" t="s">
        <v>19</v>
      </c>
      <c r="AA5" s="40" t="s">
        <v>20</v>
      </c>
      <c r="AB5" s="40" t="s">
        <v>21</v>
      </c>
      <c r="AC5" s="40" t="s">
        <v>22</v>
      </c>
      <c r="AD5" s="40" t="s">
        <v>23</v>
      </c>
      <c r="AE5" s="40" t="s">
        <v>67</v>
      </c>
      <c r="AF5" s="40" t="s">
        <v>17</v>
      </c>
      <c r="AG5" s="40" t="s">
        <v>28</v>
      </c>
      <c r="AH5" s="40" t="s">
        <v>60</v>
      </c>
      <c r="AI5" s="64" t="s">
        <v>30</v>
      </c>
      <c r="AJ5" s="63" t="s">
        <v>31</v>
      </c>
      <c r="AK5" s="46" t="s">
        <v>44</v>
      </c>
      <c r="AL5" s="42" t="s">
        <v>0</v>
      </c>
      <c r="AM5" s="72" t="s">
        <v>66</v>
      </c>
      <c r="AN5" s="47" t="s">
        <v>45</v>
      </c>
      <c r="AO5" s="101" t="s">
        <v>74</v>
      </c>
      <c r="AP5" s="39" t="s">
        <v>74</v>
      </c>
      <c r="AQ5" s="40" t="s">
        <v>19</v>
      </c>
      <c r="AR5" s="40" t="s">
        <v>20</v>
      </c>
      <c r="AS5" s="40" t="s">
        <v>21</v>
      </c>
      <c r="AT5" s="40" t="s">
        <v>22</v>
      </c>
      <c r="AU5" s="40" t="s">
        <v>23</v>
      </c>
      <c r="AV5" s="40" t="s">
        <v>67</v>
      </c>
      <c r="AW5" s="74">
        <v>0.2</v>
      </c>
      <c r="AX5" s="40" t="s">
        <v>42</v>
      </c>
      <c r="AY5" s="38" t="s">
        <v>9</v>
      </c>
    </row>
    <row r="6" spans="1:51" ht="12" customHeight="1">
      <c r="A6" s="11" t="s">
        <v>69</v>
      </c>
      <c r="B6" s="48">
        <v>728854</v>
      </c>
      <c r="C6" s="48" t="s">
        <v>2</v>
      </c>
      <c r="D6" s="62">
        <v>13.5</v>
      </c>
      <c r="E6" s="48">
        <v>700000</v>
      </c>
      <c r="F6" s="11">
        <v>10</v>
      </c>
      <c r="G6" s="17">
        <f>+F6/1200</f>
        <v>8.3333333333333332E-3</v>
      </c>
      <c r="H6" s="11">
        <v>36</v>
      </c>
      <c r="I6" s="48">
        <f>+E6*(G6*((1+G6)^H6))/(((1+G6)^H6)-1)</f>
        <v>22587.031035686334</v>
      </c>
      <c r="J6" s="48">
        <f>+I6*H6</f>
        <v>813133.11728470796</v>
      </c>
      <c r="K6" s="18">
        <f>+J6-E6</f>
        <v>113133.11728470796</v>
      </c>
      <c r="L6" s="60">
        <f>+B6+R6+S6</f>
        <v>801080.46077022073</v>
      </c>
      <c r="M6" s="99">
        <f>+L6-E6</f>
        <v>101080.46077022073</v>
      </c>
      <c r="N6" s="48">
        <v>50000</v>
      </c>
      <c r="O6" s="48">
        <f>+N6/D6</f>
        <v>3703.7037037037039</v>
      </c>
      <c r="P6" s="48">
        <f>IF(C6="petrol",$C$2,$C$3)*(N6/D6)</f>
        <v>185185.1851851852</v>
      </c>
      <c r="Q6" s="48">
        <v>50000</v>
      </c>
      <c r="R6" s="48">
        <f>+B6*0.06+2725</f>
        <v>46456.24</v>
      </c>
      <c r="S6" s="48">
        <f>+B6/28.2828</f>
        <v>25770.220770220767</v>
      </c>
      <c r="T6" s="48">
        <f>+(S6-(S6*0.15))-(S6-(S6*0.15))*0.4+1000</f>
        <v>14142.81259281259</v>
      </c>
      <c r="U6" s="48">
        <f>+(T6-(T6*0.15))-(T6-(T6*0.15))*0.4+1000</f>
        <v>8212.8344223344211</v>
      </c>
      <c r="V6" s="48">
        <f>+(U6-(U6*0.15))-(U6-(U6*0.15))*0.4+1000</f>
        <v>5188.5455553905549</v>
      </c>
      <c r="W6" s="48">
        <f>+(V6-(V6*0.15))-(V6-(V6*0.15))*0.4+1000</f>
        <v>3646.1582332491826</v>
      </c>
      <c r="X6" s="18">
        <f>SUM(S6:W6)</f>
        <v>56960.571574007517</v>
      </c>
      <c r="Y6" s="60">
        <f>+B6+K6+P6+Q6+R6+X6</f>
        <v>1180589.1140439007</v>
      </c>
      <c r="Z6" s="48">
        <f>+B6*0.15</f>
        <v>109328.09999999999</v>
      </c>
      <c r="AA6" s="48">
        <f>+(B6-Z6)*0.15</f>
        <v>92928.884999999995</v>
      </c>
      <c r="AB6" s="48">
        <f>+(B6-(SUM(Z6,AA6)))*0.15</f>
        <v>78989.552249999993</v>
      </c>
      <c r="AC6" s="48">
        <f>+(B6-(SUM(Z6,AA6,AB6)))*0.15</f>
        <v>67141.119412500004</v>
      </c>
      <c r="AD6" s="48">
        <f>+(B6-(SUM(Z6,AA6,AB6,AC6)))*0.15</f>
        <v>57069.951500625</v>
      </c>
      <c r="AE6" s="48">
        <f>SUM(Z6:AD6)</f>
        <v>405457.608163125</v>
      </c>
      <c r="AF6" s="48">
        <f>+K6</f>
        <v>113133.11728470796</v>
      </c>
      <c r="AG6" s="48">
        <f>+P6+Q6</f>
        <v>235185.1851851852</v>
      </c>
      <c r="AH6" s="48">
        <f>+R6+X6</f>
        <v>103416.81157400752</v>
      </c>
      <c r="AI6" s="11">
        <v>20</v>
      </c>
      <c r="AJ6" s="60">
        <f>(+AE6+AF6+AG6+AH6)*AI6/100</f>
        <v>171438.54444140513</v>
      </c>
      <c r="AK6" s="60">
        <f>+Y6-AJ6</f>
        <v>1009150.5696024956</v>
      </c>
      <c r="AL6" s="18">
        <f>+B6-AE6</f>
        <v>323396.391836875</v>
      </c>
      <c r="AM6" s="52">
        <v>250000</v>
      </c>
      <c r="AN6" s="61">
        <f>AK6-AM6</f>
        <v>759150.56960249564</v>
      </c>
      <c r="AO6" s="48">
        <v>1000000</v>
      </c>
      <c r="AP6" s="48">
        <f>+AO6+AL6-AM6</f>
        <v>1073396.3918368751</v>
      </c>
      <c r="AQ6" s="48">
        <f>+AP6*0.15</f>
        <v>161009.45877553127</v>
      </c>
      <c r="AR6" s="48">
        <f>+(AP6-AQ6)*0.15</f>
        <v>136858.03995920156</v>
      </c>
      <c r="AS6" s="48">
        <f>+(AP6-(SUM(AQ6,AR6)))*0.15</f>
        <v>116329.33396532133</v>
      </c>
      <c r="AT6" s="48">
        <f>+(AP6-(SUM(AQ6,AR6,AS6)))*0.15</f>
        <v>98879.933870523135</v>
      </c>
      <c r="AU6" s="48">
        <f>+(AP6-(SUM(AQ6,AR6,AS6,AT6)))*0.15</f>
        <v>84047.943789944678</v>
      </c>
      <c r="AV6" s="48">
        <f>SUM(AQ6:AU6)</f>
        <v>597124.71036052192</v>
      </c>
      <c r="AW6" s="11">
        <f>+AV6*0.2</f>
        <v>119424.94207210439</v>
      </c>
      <c r="AX6" s="48">
        <f>+AN6-AW6</f>
        <v>639725.62753039121</v>
      </c>
      <c r="AY6" s="11" t="s">
        <v>69</v>
      </c>
    </row>
    <row r="7" spans="1:51" ht="12" customHeight="1">
      <c r="A7" s="11" t="s">
        <v>68</v>
      </c>
      <c r="B7" s="48">
        <v>760000</v>
      </c>
      <c r="C7" s="48" t="s">
        <v>2</v>
      </c>
      <c r="D7" s="62">
        <v>13.5</v>
      </c>
      <c r="E7" s="48">
        <v>700000</v>
      </c>
      <c r="F7" s="11">
        <v>10</v>
      </c>
      <c r="G7" s="17">
        <f>+F7/1200</f>
        <v>8.3333333333333332E-3</v>
      </c>
      <c r="H7" s="11">
        <v>36</v>
      </c>
      <c r="I7" s="48">
        <f>+E7*(G7*((1+G7)^H7))/(((1+G7)^H7)-1)</f>
        <v>22587.031035686334</v>
      </c>
      <c r="J7" s="48">
        <f>+I7*H7</f>
        <v>813133.11728470796</v>
      </c>
      <c r="K7" s="18">
        <f>+J7-E7</f>
        <v>113133.11728470796</v>
      </c>
      <c r="L7" s="60">
        <f>+B7+R7+S7</f>
        <v>835196.45544288401</v>
      </c>
      <c r="M7" s="99">
        <f>+L7-E7</f>
        <v>135196.45544288401</v>
      </c>
      <c r="N7" s="48">
        <v>50000</v>
      </c>
      <c r="O7" s="48">
        <f>+N7/D7</f>
        <v>3703.7037037037039</v>
      </c>
      <c r="P7" s="48">
        <f>IF(C7="petrol",$C$2,$C$3)*(N7/D7)</f>
        <v>185185.1851851852</v>
      </c>
      <c r="Q7" s="48">
        <v>50000</v>
      </c>
      <c r="R7" s="48">
        <f>+B7*0.06+2725</f>
        <v>48325</v>
      </c>
      <c r="S7" s="48">
        <f>+B7/28.2828</f>
        <v>26871.455442884013</v>
      </c>
      <c r="T7" s="48">
        <f>+(S7-(S7*0.15))-(S7-(S7*0.15))*0.4+1000</f>
        <v>14704.442275870846</v>
      </c>
      <c r="U7" s="48">
        <f>+(T7-(T7*0.15))-(T7-(T7*0.15))*0.4+1000</f>
        <v>8499.2655606941298</v>
      </c>
      <c r="V7" s="48">
        <f>+(U7-(U7*0.15))-(U7-(U7*0.15))*0.4+1000</f>
        <v>5334.6254359540062</v>
      </c>
      <c r="W7" s="48">
        <f>+(V7-(V7*0.15))-(V7-(V7*0.15))*0.4+1000</f>
        <v>3720.6589723365432</v>
      </c>
      <c r="X7" s="18">
        <f>SUM(S7:W7)</f>
        <v>59130.447687739535</v>
      </c>
      <c r="Y7" s="60">
        <f>+B7+K7+P7+Q7+R7+X7</f>
        <v>1215773.7501576326</v>
      </c>
      <c r="Z7" s="48">
        <f>+B7*0.15</f>
        <v>114000</v>
      </c>
      <c r="AA7" s="48">
        <f>+(B7-Z7)*0.15</f>
        <v>96900</v>
      </c>
      <c r="AB7" s="48">
        <f>+(B7-(SUM(Z7,AA7)))*0.15</f>
        <v>82365</v>
      </c>
      <c r="AC7" s="48">
        <f>+(B7-(SUM(Z7,AA7,AB7)))*0.15</f>
        <v>70010.25</v>
      </c>
      <c r="AD7" s="48">
        <f>+(B7-(SUM(Z7,AA7,AB7,AC7)))*0.15</f>
        <v>59508.712499999994</v>
      </c>
      <c r="AE7" s="48">
        <f>SUM(Z7:AD7)</f>
        <v>422783.96250000002</v>
      </c>
      <c r="AF7" s="48">
        <f>+K7</f>
        <v>113133.11728470796</v>
      </c>
      <c r="AG7" s="48">
        <f>+P7+Q7</f>
        <v>235185.1851851852</v>
      </c>
      <c r="AH7" s="48">
        <f>+R7+X7</f>
        <v>107455.44768773954</v>
      </c>
      <c r="AI7" s="11">
        <v>20</v>
      </c>
      <c r="AJ7" s="60">
        <f>(+AE7+AF7+AG7+AH7)*AI7/100</f>
        <v>175711.54253152653</v>
      </c>
      <c r="AK7" s="60">
        <f>+Y7-AJ7</f>
        <v>1040062.2076261061</v>
      </c>
      <c r="AL7" s="18">
        <f>+B7-AE7</f>
        <v>337216.03749999998</v>
      </c>
      <c r="AM7" s="52">
        <v>300000</v>
      </c>
      <c r="AN7" s="61">
        <f>AK7-AM7</f>
        <v>740062.2076261061</v>
      </c>
      <c r="AO7" s="48">
        <v>1000000</v>
      </c>
      <c r="AP7" s="48">
        <f>+AO7+AL7-AM7</f>
        <v>1037216.0375000001</v>
      </c>
      <c r="AQ7" s="48">
        <f>+AP7*0.15</f>
        <v>155582.40562500001</v>
      </c>
      <c r="AR7" s="48">
        <f>+(AP7-AQ7)*0.15</f>
        <v>132245.04478125001</v>
      </c>
      <c r="AS7" s="48">
        <f>+(AP7-(SUM(AQ7,AR7)))*0.15</f>
        <v>112408.28806406249</v>
      </c>
      <c r="AT7" s="48">
        <f>+(AP7-(SUM(AQ7,AR7,AS7)))*0.15</f>
        <v>95547.044854453139</v>
      </c>
      <c r="AU7" s="48">
        <f>+(AP7-(SUM(AQ7,AR7,AS7,AT7)))*0.15</f>
        <v>81214.98812628517</v>
      </c>
      <c r="AV7" s="48">
        <f>SUM(AQ7:AU7)</f>
        <v>576997.77145105076</v>
      </c>
      <c r="AW7" s="11">
        <f>+AV7*0.2</f>
        <v>115399.55429021016</v>
      </c>
      <c r="AX7" s="48">
        <f>+AN7-AW7</f>
        <v>624662.65333589597</v>
      </c>
      <c r="AY7" s="11" t="s">
        <v>68</v>
      </c>
    </row>
    <row r="8" spans="1:51" ht="12" customHeight="1">
      <c r="A8" s="11" t="s">
        <v>54</v>
      </c>
      <c r="B8" s="48">
        <v>763260</v>
      </c>
      <c r="C8" s="48" t="s">
        <v>2</v>
      </c>
      <c r="D8" s="62">
        <v>15.5</v>
      </c>
      <c r="E8" s="48">
        <v>700000</v>
      </c>
      <c r="F8" s="11">
        <v>10</v>
      </c>
      <c r="G8" s="17">
        <f>+F8/1200</f>
        <v>8.3333333333333332E-3</v>
      </c>
      <c r="H8" s="11">
        <v>36</v>
      </c>
      <c r="I8" s="48">
        <f>+E8*(G8*((1+G8)^H8))/(((1+G8)^H8)-1)</f>
        <v>22587.031035686334</v>
      </c>
      <c r="J8" s="48">
        <f>+I8*H8</f>
        <v>813133.11728470796</v>
      </c>
      <c r="K8" s="18">
        <f>+J8-E8</f>
        <v>113133.11728470796</v>
      </c>
      <c r="L8" s="60">
        <f>+B8+R8+S8</f>
        <v>838767.31984386267</v>
      </c>
      <c r="M8" s="99">
        <f>+L8-E8</f>
        <v>138767.31984386267</v>
      </c>
      <c r="N8" s="48">
        <v>50000</v>
      </c>
      <c r="O8" s="48">
        <f>+N8/D8</f>
        <v>3225.8064516129034</v>
      </c>
      <c r="P8" s="48">
        <f>IF(C8="petrol",$C$2,$C$3)*(N8/D8)</f>
        <v>161290.32258064518</v>
      </c>
      <c r="Q8" s="48">
        <v>50000</v>
      </c>
      <c r="R8" s="48">
        <f>+B8*0.06+2725</f>
        <v>48520.6</v>
      </c>
      <c r="S8" s="48">
        <f>+B8/28.2828</f>
        <v>26986.719843862698</v>
      </c>
      <c r="T8" s="48">
        <f>+(S8-(S8*0.15))-(S8-(S8*0.15))*0.4+1000</f>
        <v>14763.227120369977</v>
      </c>
      <c r="U8" s="48">
        <f>+(T8-(T8*0.15))-(T8-(T8*0.15))*0.4+1000</f>
        <v>8529.2458313886873</v>
      </c>
      <c r="V8" s="48">
        <f>+(U8-(U8*0.15))-(U8-(U8*0.15))*0.4+1000</f>
        <v>5349.9153740082302</v>
      </c>
      <c r="W8" s="48">
        <f>+(V8-(V8*0.15))-(V8-(V8*0.15))*0.4+1000</f>
        <v>3728.4568407441975</v>
      </c>
      <c r="X8" s="18">
        <f>SUM(S8:W8)</f>
        <v>59357.565010373793</v>
      </c>
      <c r="Y8" s="60">
        <f>+B8+K8+P8+Q8+R8+X8</f>
        <v>1195561.6048757269</v>
      </c>
      <c r="Z8" s="48">
        <f>+B8*0.15</f>
        <v>114489</v>
      </c>
      <c r="AA8" s="48">
        <f>+(B8-Z8)*0.15</f>
        <v>97315.65</v>
      </c>
      <c r="AB8" s="48">
        <f>+(B8-(SUM(Z8,AA8)))*0.15</f>
        <v>82718.302499999991</v>
      </c>
      <c r="AC8" s="48">
        <f>+(B8-(SUM(Z8,AA8,AB8)))*0.15</f>
        <v>70310.557124999992</v>
      </c>
      <c r="AD8" s="48">
        <f>+(B8-(SUM(Z8,AA8,AB8,AC8)))*0.15</f>
        <v>59763.973556249999</v>
      </c>
      <c r="AE8" s="48">
        <f>SUM(Z8:AD8)</f>
        <v>424597.48318124999</v>
      </c>
      <c r="AF8" s="48">
        <f>+K8</f>
        <v>113133.11728470796</v>
      </c>
      <c r="AG8" s="48">
        <f>+P8+Q8</f>
        <v>211290.32258064518</v>
      </c>
      <c r="AH8" s="48">
        <f>+R8+X8</f>
        <v>107878.16501037379</v>
      </c>
      <c r="AI8" s="11">
        <v>20</v>
      </c>
      <c r="AJ8" s="60">
        <f>(+AE8+AF8+AG8+AH8)*AI8/100</f>
        <v>171379.81761139541</v>
      </c>
      <c r="AK8" s="60">
        <f>+Y8-AJ8</f>
        <v>1024181.7872643315</v>
      </c>
      <c r="AL8" s="18">
        <f>+B8-AE8</f>
        <v>338662.51681875001</v>
      </c>
      <c r="AM8" s="52">
        <v>300000</v>
      </c>
      <c r="AN8" s="61">
        <f>AK8-AM8</f>
        <v>724181.78726433148</v>
      </c>
      <c r="AO8" s="48">
        <v>1000000</v>
      </c>
      <c r="AP8" s="48">
        <f>+AO8+AL8-AM8</f>
        <v>1038662.51681875</v>
      </c>
      <c r="AQ8" s="48">
        <f>+AP8*0.15</f>
        <v>155799.37752281249</v>
      </c>
      <c r="AR8" s="48">
        <f>+(AP8-AQ8)*0.15</f>
        <v>132429.47089439063</v>
      </c>
      <c r="AS8" s="48">
        <f>+(AP8-(SUM(AQ8,AR8)))*0.15</f>
        <v>112565.05026023202</v>
      </c>
      <c r="AT8" s="48">
        <f>+(AP8-(SUM(AQ8,AR8,AS8)))*0.15</f>
        <v>95680.292721197227</v>
      </c>
      <c r="AU8" s="48">
        <f>+(AP8-(SUM(AQ8,AR8,AS8,AT8)))*0.15</f>
        <v>81328.248813017635</v>
      </c>
      <c r="AV8" s="48">
        <f>SUM(AQ8:AU8)</f>
        <v>577802.44021164998</v>
      </c>
      <c r="AW8" s="11">
        <f>+AV8*0.2</f>
        <v>115560.48804233001</v>
      </c>
      <c r="AX8" s="48">
        <f>+AN8-AW8</f>
        <v>608621.29922200146</v>
      </c>
      <c r="AY8" s="11" t="s">
        <v>54</v>
      </c>
    </row>
    <row r="9" spans="1:51" ht="12" customHeight="1">
      <c r="A9" s="11" t="s">
        <v>69</v>
      </c>
      <c r="B9" s="48">
        <v>805187</v>
      </c>
      <c r="C9" s="48" t="s">
        <v>3</v>
      </c>
      <c r="D9" s="62">
        <v>19.899999999999999</v>
      </c>
      <c r="E9" s="48">
        <v>700000</v>
      </c>
      <c r="F9" s="11">
        <v>10</v>
      </c>
      <c r="G9" s="17">
        <f>+F9/1200</f>
        <v>8.3333333333333332E-3</v>
      </c>
      <c r="H9" s="11">
        <v>36</v>
      </c>
      <c r="I9" s="48">
        <f>+E9*(G9*((1+G9)^H9))/(((1+G9)^H9)-1)</f>
        <v>22587.031035686334</v>
      </c>
      <c r="J9" s="48">
        <f>+I9*H9</f>
        <v>813133.11728470796</v>
      </c>
      <c r="K9" s="18">
        <f>+J9-E9</f>
        <v>113133.11728470796</v>
      </c>
      <c r="L9" s="60">
        <f>+B9+R9+S9</f>
        <v>884692.36025485455</v>
      </c>
      <c r="M9" s="99">
        <f>+L9-E9</f>
        <v>184692.36025485455</v>
      </c>
      <c r="N9" s="48">
        <v>50000</v>
      </c>
      <c r="O9" s="48">
        <f>+N9/D9</f>
        <v>2512.562814070352</v>
      </c>
      <c r="P9" s="48">
        <f>IF(C9="petrol",$C$2,$C$3)*(N9/D9)</f>
        <v>97989.949748743733</v>
      </c>
      <c r="Q9" s="48">
        <v>50000</v>
      </c>
      <c r="R9" s="48">
        <f>+B9*0.06+2725</f>
        <v>51036.22</v>
      </c>
      <c r="S9" s="48">
        <f>+B9/28.2828</f>
        <v>28469.140254854537</v>
      </c>
      <c r="T9" s="48">
        <f>+(S9-(S9*0.15))-(S9-(S9*0.15))*0.4+1000</f>
        <v>15519.261529975814</v>
      </c>
      <c r="U9" s="48">
        <f>+(T9-(T9*0.15))-(T9-(T9*0.15))*0.4+1000</f>
        <v>8914.8233802876657</v>
      </c>
      <c r="V9" s="48">
        <f>+(U9-(U9*0.15))-(U9-(U9*0.15))*0.4+1000</f>
        <v>5546.5599239467092</v>
      </c>
      <c r="W9" s="48">
        <f>+(V9-(V9*0.15))-(V9-(V9*0.15))*0.4+1000</f>
        <v>3828.7455612128215</v>
      </c>
      <c r="X9" s="18">
        <f>SUM(S9:W9)</f>
        <v>62278.530650277549</v>
      </c>
      <c r="Y9" s="60">
        <f>+B9+K9+P9+Q9+R9+X9</f>
        <v>1179624.8176837293</v>
      </c>
      <c r="Z9" s="48">
        <f>+B9*0.15</f>
        <v>120778.04999999999</v>
      </c>
      <c r="AA9" s="48">
        <f>+(B9-Z9)*0.15</f>
        <v>102661.34249999998</v>
      </c>
      <c r="AB9" s="48">
        <f>+(B9-(SUM(Z9,AA9)))*0.15</f>
        <v>87262.141125000009</v>
      </c>
      <c r="AC9" s="48">
        <f>+(B9-(SUM(Z9,AA9,AB9)))*0.15</f>
        <v>74172.819956249994</v>
      </c>
      <c r="AD9" s="48">
        <f>+(B9-(SUM(Z9,AA9,AB9,AC9)))*0.15</f>
        <v>63046.896962812505</v>
      </c>
      <c r="AE9" s="48">
        <f>SUM(Z9:AD9)</f>
        <v>447921.25054406247</v>
      </c>
      <c r="AF9" s="48">
        <f>+K9</f>
        <v>113133.11728470796</v>
      </c>
      <c r="AG9" s="48">
        <f>+P9+Q9</f>
        <v>147989.94974874373</v>
      </c>
      <c r="AH9" s="48">
        <f>+R9+X9</f>
        <v>113314.75065027755</v>
      </c>
      <c r="AI9" s="11">
        <v>20</v>
      </c>
      <c r="AJ9" s="60">
        <f>(+AE9+AF9+AG9+AH9)*AI9/100</f>
        <v>164471.81364555834</v>
      </c>
      <c r="AK9" s="60">
        <f>+Y9-AJ9</f>
        <v>1015153.004038171</v>
      </c>
      <c r="AL9" s="18">
        <f>+B9-AE9</f>
        <v>357265.74945593753</v>
      </c>
      <c r="AM9" s="52">
        <v>300000</v>
      </c>
      <c r="AN9" s="61">
        <f>AK9-AM9</f>
        <v>715153.00403817103</v>
      </c>
      <c r="AO9" s="48">
        <v>1000000</v>
      </c>
      <c r="AP9" s="48">
        <f>+AO9+AL9-AM9</f>
        <v>1057265.7494559377</v>
      </c>
      <c r="AQ9" s="48">
        <f>+AP9*0.15</f>
        <v>158589.86241839064</v>
      </c>
      <c r="AR9" s="48">
        <f>+(AP9-AQ9)*0.15</f>
        <v>134801.38305563206</v>
      </c>
      <c r="AS9" s="48">
        <f>+(AP9-(SUM(AQ9,AR9)))*0.15</f>
        <v>114581.17559728723</v>
      </c>
      <c r="AT9" s="48">
        <f>+(AP9-(SUM(AQ9,AR9,AS9)))*0.15</f>
        <v>97393.999257694159</v>
      </c>
      <c r="AU9" s="48">
        <f>+(AP9-(SUM(AQ9,AR9,AS9,AT9)))*0.15</f>
        <v>82784.899369040038</v>
      </c>
      <c r="AV9" s="48">
        <f>SUM(AQ9:AU9)</f>
        <v>588151.3196980441</v>
      </c>
      <c r="AW9" s="11">
        <f>+AV9*0.2</f>
        <v>117630.26393960882</v>
      </c>
      <c r="AX9" s="48">
        <f>+AN9-AW9</f>
        <v>597522.74009856221</v>
      </c>
      <c r="AY9" s="11" t="s">
        <v>69</v>
      </c>
    </row>
    <row r="10" spans="1:51" ht="12" customHeight="1">
      <c r="A10" s="11" t="s">
        <v>59</v>
      </c>
      <c r="B10" s="48">
        <v>826175</v>
      </c>
      <c r="C10" s="48" t="s">
        <v>2</v>
      </c>
      <c r="D10" s="62">
        <v>15</v>
      </c>
      <c r="E10" s="48">
        <v>700000</v>
      </c>
      <c r="F10" s="11">
        <v>10</v>
      </c>
      <c r="G10" s="17">
        <f>+F10/1200</f>
        <v>8.3333333333333332E-3</v>
      </c>
      <c r="H10" s="11">
        <v>36</v>
      </c>
      <c r="I10" s="48">
        <f>+E10*(G10*((1+G10)^H10))/(((1+G10)^H10)-1)</f>
        <v>22587.031035686334</v>
      </c>
      <c r="J10" s="48">
        <f>+I10*H10</f>
        <v>813133.11728470796</v>
      </c>
      <c r="K10" s="18">
        <f>+J10-E10</f>
        <v>113133.11728470796</v>
      </c>
      <c r="L10" s="60">
        <f>+B10+R10+S10</f>
        <v>907681.71671121672</v>
      </c>
      <c r="M10" s="99">
        <f>+L10-E10</f>
        <v>207681.71671121672</v>
      </c>
      <c r="N10" s="48">
        <v>50000</v>
      </c>
      <c r="O10" s="48">
        <f>+N10/D10</f>
        <v>3333.3333333333335</v>
      </c>
      <c r="P10" s="48">
        <f>IF(C10="petrol",$C$2,$C$3)*(N10/D10)</f>
        <v>166666.66666666669</v>
      </c>
      <c r="Q10" s="48">
        <v>50000</v>
      </c>
      <c r="R10" s="48">
        <f>+B10*0.06+2725</f>
        <v>52295.5</v>
      </c>
      <c r="S10" s="48">
        <f>+B10/28.2828</f>
        <v>29211.216711216708</v>
      </c>
      <c r="T10" s="48">
        <f>+(S10-(S10*0.15))-(S10-(S10*0.15))*0.4+1000</f>
        <v>15897.720522720521</v>
      </c>
      <c r="U10" s="48">
        <f>+(T10-(T10*0.15))-(T10-(T10*0.15))*0.4+1000</f>
        <v>9107.8374665874653</v>
      </c>
      <c r="V10" s="48">
        <f>+(U10-(U10*0.15))-(U10-(U10*0.15))*0.4+1000</f>
        <v>5644.9971079596071</v>
      </c>
      <c r="W10" s="48">
        <f>+(V10-(V10*0.15))-(V10-(V10*0.15))*0.4+1000</f>
        <v>3878.9485250593998</v>
      </c>
      <c r="X10" s="18">
        <f>SUM(S10:W10)</f>
        <v>63740.720333543701</v>
      </c>
      <c r="Y10" s="60">
        <f>+B10+K10+P10+Q10+R10+X10</f>
        <v>1272011.0042849183</v>
      </c>
      <c r="Z10" s="48">
        <f>+B10*0.15</f>
        <v>123926.25</v>
      </c>
      <c r="AA10" s="48">
        <f>+(B10-Z10)*0.15</f>
        <v>105337.3125</v>
      </c>
      <c r="AB10" s="48">
        <f>+(B10-(SUM(Z10,AA10)))*0.15</f>
        <v>89536.715624999997</v>
      </c>
      <c r="AC10" s="48">
        <f>+(B10-(SUM(Z10,AA10,AB10)))*0.15</f>
        <v>76106.208281250001</v>
      </c>
      <c r="AD10" s="48">
        <f>+(B10-(SUM(Z10,AA10,AB10,AC10)))*0.15</f>
        <v>64690.277039062494</v>
      </c>
      <c r="AE10" s="48">
        <f>SUM(Z10:AD10)</f>
        <v>459596.76344531251</v>
      </c>
      <c r="AF10" s="48">
        <f>+K10</f>
        <v>113133.11728470796</v>
      </c>
      <c r="AG10" s="48">
        <f>+P10+Q10</f>
        <v>216666.66666666669</v>
      </c>
      <c r="AH10" s="48">
        <f>+R10+X10</f>
        <v>116036.22033354369</v>
      </c>
      <c r="AI10" s="11">
        <v>20</v>
      </c>
      <c r="AJ10" s="60">
        <f>(+AE10+AF10+AG10+AH10)*AI10/100</f>
        <v>181086.55354604617</v>
      </c>
      <c r="AK10" s="60">
        <f>+Y10-AJ10</f>
        <v>1090924.4507388722</v>
      </c>
      <c r="AL10" s="18">
        <f>+B10-AE10</f>
        <v>366578.23655468749</v>
      </c>
      <c r="AM10" s="52">
        <v>300000</v>
      </c>
      <c r="AN10" s="61">
        <f>AK10-AM10</f>
        <v>790924.45073887217</v>
      </c>
      <c r="AO10" s="48">
        <v>1000000</v>
      </c>
      <c r="AP10" s="48">
        <f>+AO10+AL10-AM10</f>
        <v>1066578.2365546874</v>
      </c>
      <c r="AQ10" s="48">
        <f>+AP10*0.15</f>
        <v>159986.73548320311</v>
      </c>
      <c r="AR10" s="48">
        <f>+(AP10-AQ10)*0.15</f>
        <v>135988.72516072265</v>
      </c>
      <c r="AS10" s="48">
        <f>+(AP10-(SUM(AQ10,AR10)))*0.15</f>
        <v>115590.41638661425</v>
      </c>
      <c r="AT10" s="48">
        <f>+(AP10-(SUM(AQ10,AR10,AS10)))*0.15</f>
        <v>98251.853928622106</v>
      </c>
      <c r="AU10" s="48">
        <f>+(AP10-(SUM(AQ10,AR10,AS10,AT10)))*0.15</f>
        <v>83514.075839328783</v>
      </c>
      <c r="AV10" s="48">
        <f>SUM(AQ10:AU10)</f>
        <v>593331.80679849093</v>
      </c>
      <c r="AW10" s="11">
        <f>+AV10*0.2</f>
        <v>118666.36135969819</v>
      </c>
      <c r="AX10" s="48">
        <f>+AN10-AW10</f>
        <v>672258.08937917394</v>
      </c>
      <c r="AY10" s="11" t="s">
        <v>59</v>
      </c>
    </row>
    <row r="11" spans="1:51" ht="12" customHeight="1">
      <c r="A11" s="11" t="s">
        <v>55</v>
      </c>
      <c r="B11" s="48">
        <v>832000</v>
      </c>
      <c r="C11" s="48" t="s">
        <v>3</v>
      </c>
      <c r="D11" s="62">
        <v>19.7</v>
      </c>
      <c r="E11" s="48">
        <v>700000</v>
      </c>
      <c r="F11" s="11">
        <v>10</v>
      </c>
      <c r="G11" s="17">
        <f>+F11/1200</f>
        <v>8.3333333333333332E-3</v>
      </c>
      <c r="H11" s="11">
        <v>36</v>
      </c>
      <c r="I11" s="48">
        <f>+E11*(G11*((1+G11)^H11))/(((1+G11)^H11)-1)</f>
        <v>22587.031035686334</v>
      </c>
      <c r="J11" s="48">
        <f>+I11*H11</f>
        <v>813133.11728470796</v>
      </c>
      <c r="K11" s="18">
        <f>+J11-E11</f>
        <v>113133.11728470796</v>
      </c>
      <c r="L11" s="60">
        <f>+B11+R11+S11</f>
        <v>914062.17227431515</v>
      </c>
      <c r="M11" s="99">
        <f>+L11-E11</f>
        <v>214062.17227431515</v>
      </c>
      <c r="N11" s="48">
        <v>50000</v>
      </c>
      <c r="O11" s="48">
        <f>+N11/D11</f>
        <v>2538.0710659898477</v>
      </c>
      <c r="P11" s="48">
        <f>IF(C11="petrol",$C$2,$C$3)*(N11/D11)</f>
        <v>98984.771573604055</v>
      </c>
      <c r="Q11" s="48">
        <v>50000</v>
      </c>
      <c r="R11" s="48">
        <f>+B11*0.06+2725</f>
        <v>52645</v>
      </c>
      <c r="S11" s="48">
        <f>+B11/28.2828</f>
        <v>29417.172274315129</v>
      </c>
      <c r="T11" s="48">
        <f>+(S11-(S11*0.15))-(S11-(S11*0.15))*0.4+1000</f>
        <v>16002.757859900717</v>
      </c>
      <c r="U11" s="48">
        <f>+(T11-(T11*0.15))-(T11-(T11*0.15))*0.4+1000</f>
        <v>9161.4065085493658</v>
      </c>
      <c r="V11" s="48">
        <f>+(U11-(U11*0.15))-(U11-(U11*0.15))*0.4+1000</f>
        <v>5672.317319360176</v>
      </c>
      <c r="W11" s="48">
        <f>+(V11-(V11*0.15))-(V11-(V11*0.15))*0.4+1000</f>
        <v>3892.8818328736897</v>
      </c>
      <c r="X11" s="18">
        <f>SUM(S11:W11)</f>
        <v>64146.535794999072</v>
      </c>
      <c r="Y11" s="60">
        <f>+B11+K11+P11+Q11+R11+X11</f>
        <v>1210909.424653311</v>
      </c>
      <c r="Z11" s="48">
        <f>+B11*0.15</f>
        <v>124800</v>
      </c>
      <c r="AA11" s="48">
        <f>+(B11-Z11)*0.15</f>
        <v>106080</v>
      </c>
      <c r="AB11" s="48">
        <f>+(B11-(SUM(Z11,AA11)))*0.15</f>
        <v>90168</v>
      </c>
      <c r="AC11" s="48">
        <f>+(B11-(SUM(Z11,AA11,AB11)))*0.15</f>
        <v>76642.8</v>
      </c>
      <c r="AD11" s="48">
        <f>+(B11-(SUM(Z11,AA11,AB11,AC11)))*0.15</f>
        <v>65146.38</v>
      </c>
      <c r="AE11" s="48">
        <f>SUM(Z11:AD11)</f>
        <v>462837.18</v>
      </c>
      <c r="AF11" s="48">
        <f>+K11</f>
        <v>113133.11728470796</v>
      </c>
      <c r="AG11" s="48">
        <f>+P11+Q11</f>
        <v>148984.77157360406</v>
      </c>
      <c r="AH11" s="48">
        <f>+R11+X11</f>
        <v>116791.53579499907</v>
      </c>
      <c r="AI11" s="11">
        <v>20</v>
      </c>
      <c r="AJ11" s="60">
        <f>(+AE11+AF11+AG11+AH11)*AI11/100</f>
        <v>168349.32093066222</v>
      </c>
      <c r="AK11" s="60">
        <f>+Y11-AJ11</f>
        <v>1042560.1037226488</v>
      </c>
      <c r="AL11" s="18">
        <f>+B11-AE11</f>
        <v>369162.82</v>
      </c>
      <c r="AM11" s="52">
        <v>300000</v>
      </c>
      <c r="AN11" s="61">
        <f>AK11-AM11</f>
        <v>742560.10372264881</v>
      </c>
      <c r="AO11" s="48">
        <v>1000000</v>
      </c>
      <c r="AP11" s="48">
        <f>+AO11+AL11-AM11</f>
        <v>1069162.82</v>
      </c>
      <c r="AQ11" s="48">
        <f>+AP11*0.15</f>
        <v>160374.42300000001</v>
      </c>
      <c r="AR11" s="48">
        <f>+(AP11-AQ11)*0.15</f>
        <v>136318.25955000002</v>
      </c>
      <c r="AS11" s="48">
        <f>+(AP11-(SUM(AQ11,AR11)))*0.15</f>
        <v>115870.52061750001</v>
      </c>
      <c r="AT11" s="48">
        <f>+(AP11-(SUM(AQ11,AR11,AS11)))*0.15</f>
        <v>98489.942524875005</v>
      </c>
      <c r="AU11" s="48">
        <f>+(AP11-(SUM(AQ11,AR11,AS11,AT11)))*0.15</f>
        <v>83716.451146143751</v>
      </c>
      <c r="AV11" s="48">
        <f>SUM(AQ11:AU11)</f>
        <v>594769.59683851874</v>
      </c>
      <c r="AW11" s="11">
        <f>+AV11*0.2</f>
        <v>118953.91936770375</v>
      </c>
      <c r="AX11" s="48">
        <f>+AN11-AW11</f>
        <v>623606.18435494509</v>
      </c>
      <c r="AY11" s="11" t="s">
        <v>55</v>
      </c>
    </row>
    <row r="12" spans="1:51" ht="12" customHeight="1">
      <c r="A12" s="11" t="s">
        <v>68</v>
      </c>
      <c r="B12" s="48">
        <v>861156</v>
      </c>
      <c r="C12" s="48" t="s">
        <v>3</v>
      </c>
      <c r="D12" s="62">
        <v>19.899999999999999</v>
      </c>
      <c r="E12" s="48">
        <v>700000</v>
      </c>
      <c r="F12" s="11">
        <v>10</v>
      </c>
      <c r="G12" s="17">
        <f>+F12/1200</f>
        <v>8.3333333333333332E-3</v>
      </c>
      <c r="H12" s="11">
        <v>36</v>
      </c>
      <c r="I12" s="48">
        <f>+E12*(G12*((1+G12)^H12))/(((1+G12)^H12)-1)</f>
        <v>22587.031035686334</v>
      </c>
      <c r="J12" s="48">
        <f>+I12*H12</f>
        <v>813133.11728470796</v>
      </c>
      <c r="K12" s="18">
        <f>+J12-E12</f>
        <v>113133.11728470796</v>
      </c>
      <c r="L12" s="60">
        <f>+B12+R12+S12</f>
        <v>945861.36</v>
      </c>
      <c r="M12" s="99">
        <f>+L12-E12</f>
        <v>245861.36</v>
      </c>
      <c r="N12" s="48">
        <v>50000</v>
      </c>
      <c r="O12" s="48">
        <f>+N12/D12</f>
        <v>2512.562814070352</v>
      </c>
      <c r="P12" s="48">
        <f>IF(C12="petrol",$C$2,$C$3)*(N12/D12)</f>
        <v>97989.949748743733</v>
      </c>
      <c r="Q12" s="48">
        <v>50000</v>
      </c>
      <c r="R12" s="48">
        <f>+B12*0.06+2725</f>
        <v>54394.36</v>
      </c>
      <c r="S12" s="48">
        <v>30311</v>
      </c>
      <c r="T12" s="48">
        <f>+(S12-(S12*0.15))-(S12-(S12*0.15))*0.4+1000</f>
        <v>16458.61</v>
      </c>
      <c r="U12" s="48">
        <f>+(T12-(T12*0.15))-(T12-(T12*0.15))*0.4+1000</f>
        <v>9393.8911000000007</v>
      </c>
      <c r="V12" s="48">
        <f>+(U12-(U12*0.15))-(U12-(U12*0.15))*0.4+1000</f>
        <v>5790.8844609999996</v>
      </c>
      <c r="W12" s="48">
        <f>+(V12-(V12*0.15))-(V12-(V12*0.15))*0.4+1000</f>
        <v>3953.3510751099998</v>
      </c>
      <c r="X12" s="18">
        <f>SUM(S12:W12)</f>
        <v>65907.736636109999</v>
      </c>
      <c r="Y12" s="60">
        <f>+B12+K12+P12+Q12+R12+X12</f>
        <v>1242581.163669562</v>
      </c>
      <c r="Z12" s="48">
        <f>+B12*0.15</f>
        <v>129173.4</v>
      </c>
      <c r="AA12" s="48">
        <f>+(B12-Z12)*0.15</f>
        <v>109797.39</v>
      </c>
      <c r="AB12" s="48">
        <f>+(B12-(SUM(Z12,AA12)))*0.15</f>
        <v>93327.781499999997</v>
      </c>
      <c r="AC12" s="48">
        <f>+(B12-(SUM(Z12,AA12,AB12)))*0.15</f>
        <v>79328.614275</v>
      </c>
      <c r="AD12" s="48">
        <f>+(B12-(SUM(Z12,AA12,AB12,AC12)))*0.15</f>
        <v>67429.32213375</v>
      </c>
      <c r="AE12" s="48">
        <f>SUM(Z12:AD12)</f>
        <v>479056.50790874998</v>
      </c>
      <c r="AF12" s="48">
        <f>+K12</f>
        <v>113133.11728470796</v>
      </c>
      <c r="AG12" s="48">
        <f>+P12+Q12</f>
        <v>147989.94974874373</v>
      </c>
      <c r="AH12" s="48">
        <f>+R12+X12</f>
        <v>120302.09663611</v>
      </c>
      <c r="AI12" s="11">
        <v>20</v>
      </c>
      <c r="AJ12" s="60">
        <f>(+AE12+AF12+AG12+AH12)*AI12/100</f>
        <v>172096.3343156623</v>
      </c>
      <c r="AK12" s="60">
        <f>+Y12-AJ12</f>
        <v>1070484.8293538997</v>
      </c>
      <c r="AL12" s="18">
        <f>+B12-AE12</f>
        <v>382099.49209125002</v>
      </c>
      <c r="AM12" s="52">
        <v>350000</v>
      </c>
      <c r="AN12" s="61">
        <f>AK12-AM12</f>
        <v>720484.82935389969</v>
      </c>
      <c r="AO12" s="48">
        <v>1000000</v>
      </c>
      <c r="AP12" s="48">
        <f>+AO12+AL12-AM12</f>
        <v>1032099.4920912501</v>
      </c>
      <c r="AQ12" s="48">
        <f>+AP12*0.15</f>
        <v>154814.92381368752</v>
      </c>
      <c r="AR12" s="48">
        <f>+(AP12-AQ12)*0.15</f>
        <v>131592.68524163438</v>
      </c>
      <c r="AS12" s="48">
        <f>+(AP12-(SUM(AQ12,AR12)))*0.15</f>
        <v>111853.78245538923</v>
      </c>
      <c r="AT12" s="48">
        <f>+(AP12-(SUM(AQ12,AR12,AS12)))*0.15</f>
        <v>95075.715087080855</v>
      </c>
      <c r="AU12" s="48">
        <f>+(AP12-(SUM(AQ12,AR12,AS12,AT12)))*0.15</f>
        <v>80814.357824018734</v>
      </c>
      <c r="AV12" s="48">
        <f>SUM(AQ12:AU12)</f>
        <v>574151.4644218107</v>
      </c>
      <c r="AW12" s="11">
        <f>+AV12*0.2</f>
        <v>114830.29288436215</v>
      </c>
      <c r="AX12" s="48">
        <f>+AN12-AW12</f>
        <v>605654.53646953753</v>
      </c>
      <c r="AY12" s="11" t="s">
        <v>68</v>
      </c>
    </row>
    <row r="13" spans="1:51" ht="12" customHeight="1">
      <c r="A13" s="11" t="s">
        <v>24</v>
      </c>
      <c r="B13" s="48">
        <v>875500</v>
      </c>
      <c r="C13" s="48" t="s">
        <v>2</v>
      </c>
      <c r="D13" s="62">
        <v>16.5</v>
      </c>
      <c r="E13" s="48">
        <v>700000</v>
      </c>
      <c r="F13" s="11">
        <v>10</v>
      </c>
      <c r="G13" s="17">
        <f>+F13/1200</f>
        <v>8.3333333333333332E-3</v>
      </c>
      <c r="H13" s="11">
        <v>36</v>
      </c>
      <c r="I13" s="48">
        <f>+E13*(G13*((1+G13)^H13))/(((1+G13)^H13)-1)</f>
        <v>22587.031035686334</v>
      </c>
      <c r="J13" s="48">
        <f>+I13*H13</f>
        <v>813133.11728470796</v>
      </c>
      <c r="K13" s="18">
        <f>+J13-E13</f>
        <v>113133.11728470796</v>
      </c>
      <c r="L13" s="60">
        <f>+B13+R13+S13</f>
        <v>961554</v>
      </c>
      <c r="M13" s="99">
        <f>+L13-E13</f>
        <v>261554</v>
      </c>
      <c r="N13" s="48">
        <v>50000</v>
      </c>
      <c r="O13" s="48">
        <f>+N13/D13</f>
        <v>3030.3030303030305</v>
      </c>
      <c r="P13" s="48">
        <f>IF(C13="petrol",$C$2,$C$3)*(N13/D13)</f>
        <v>151515.15151515152</v>
      </c>
      <c r="Q13" s="48">
        <v>50000</v>
      </c>
      <c r="R13" s="48">
        <f>+B13*0.06+2725</f>
        <v>55255</v>
      </c>
      <c r="S13" s="48">
        <v>30799</v>
      </c>
      <c r="T13" s="48">
        <f>+(S13-(S13*0.15))-(S13-(S13*0.15))*0.4+1000</f>
        <v>16707.489999999998</v>
      </c>
      <c r="U13" s="48">
        <f>+(T13-(T13*0.15))-(T13-(T13*0.15))*0.4+1000</f>
        <v>9520.8198999999986</v>
      </c>
      <c r="V13" s="48">
        <f>+(U13-(U13*0.15))-(U13-(U13*0.15))*0.4+1000</f>
        <v>5855.618148999999</v>
      </c>
      <c r="W13" s="48">
        <f>+(V13-(V13*0.15))-(V13-(V13*0.15))*0.4+1000</f>
        <v>3986.3652559899997</v>
      </c>
      <c r="X13" s="18">
        <f>SUM(S13:W13)</f>
        <v>66869.293304989988</v>
      </c>
      <c r="Y13" s="60">
        <f>+B13+K13+P13+Q13+R13+X13</f>
        <v>1312272.5621048496</v>
      </c>
      <c r="Z13" s="48">
        <f>+B13*0.15</f>
        <v>131325</v>
      </c>
      <c r="AA13" s="48">
        <f>+(B13-Z13)*0.15</f>
        <v>111626.25</v>
      </c>
      <c r="AB13" s="48">
        <f>+(B13-(SUM(Z13,AA13)))*0.15</f>
        <v>94882.3125</v>
      </c>
      <c r="AC13" s="48">
        <f>+(B13-(SUM(Z13,AA13,AB13)))*0.15</f>
        <v>80649.965624999997</v>
      </c>
      <c r="AD13" s="48">
        <f>+(B13-(SUM(Z13,AA13,AB13,AC13)))*0.15</f>
        <v>68552.470781249998</v>
      </c>
      <c r="AE13" s="48">
        <f>SUM(Z13:AD13)</f>
        <v>487035.99890625</v>
      </c>
      <c r="AF13" s="48">
        <f>+K13</f>
        <v>113133.11728470796</v>
      </c>
      <c r="AG13" s="48">
        <f>+P13+Q13</f>
        <v>201515.15151515152</v>
      </c>
      <c r="AH13" s="48">
        <f>+R13+X13</f>
        <v>122124.29330498999</v>
      </c>
      <c r="AI13" s="11">
        <v>20</v>
      </c>
      <c r="AJ13" s="60">
        <f>(+AE13+AF13+AG13+AH13)*AI13/100</f>
        <v>184761.71220221987</v>
      </c>
      <c r="AK13" s="60">
        <f>+Y13-AJ13</f>
        <v>1127510.8499026299</v>
      </c>
      <c r="AL13" s="18">
        <f>+B13-AE13</f>
        <v>388464.00109375</v>
      </c>
      <c r="AM13" s="52">
        <v>400000</v>
      </c>
      <c r="AN13" s="61">
        <f>AK13-AM13</f>
        <v>727510.84990262985</v>
      </c>
      <c r="AO13" s="48">
        <v>1000000</v>
      </c>
      <c r="AP13" s="48">
        <f>+AO13+AL13-AM13</f>
        <v>988464.00109374989</v>
      </c>
      <c r="AQ13" s="48">
        <f>+AP13*0.15</f>
        <v>148269.60016406249</v>
      </c>
      <c r="AR13" s="48">
        <f>+(AP13-AQ13)*0.15</f>
        <v>126029.1601394531</v>
      </c>
      <c r="AS13" s="48">
        <f>+(AP13-(SUM(AQ13,AR13)))*0.15</f>
        <v>107124.78611853514</v>
      </c>
      <c r="AT13" s="48">
        <f>+(AP13-(SUM(AQ13,AR13,AS13)))*0.15</f>
        <v>91056.06820075486</v>
      </c>
      <c r="AU13" s="48">
        <f>+(AP13-(SUM(AQ13,AR13,AS13,AT13)))*0.15</f>
        <v>77397.657970641638</v>
      </c>
      <c r="AV13" s="48">
        <f>SUM(AQ13:AU13)</f>
        <v>549877.27259344724</v>
      </c>
      <c r="AW13" s="11">
        <f>+AV13*0.2</f>
        <v>109975.45451868945</v>
      </c>
      <c r="AX13" s="48">
        <f>+AN13-AW13</f>
        <v>617535.39538394043</v>
      </c>
      <c r="AY13" s="11" t="s">
        <v>24</v>
      </c>
    </row>
    <row r="14" spans="1:51" ht="12" customHeight="1">
      <c r="A14" s="11" t="s">
        <v>32</v>
      </c>
      <c r="B14" s="48">
        <v>920500</v>
      </c>
      <c r="C14" s="48" t="s">
        <v>2</v>
      </c>
      <c r="D14" s="62">
        <v>16.5</v>
      </c>
      <c r="E14" s="48">
        <v>700000</v>
      </c>
      <c r="F14" s="11">
        <v>10</v>
      </c>
      <c r="G14" s="17">
        <f>+F14/1200</f>
        <v>8.3333333333333332E-3</v>
      </c>
      <c r="H14" s="11">
        <v>36</v>
      </c>
      <c r="I14" s="48">
        <f>+E14*(G14*((1+G14)^H14))/(((1+G14)^H14)-1)</f>
        <v>22587.031035686334</v>
      </c>
      <c r="J14" s="48">
        <f>+I14*H14</f>
        <v>813133.11728470796</v>
      </c>
      <c r="K14" s="18">
        <f>+J14-E14</f>
        <v>113133.11728470796</v>
      </c>
      <c r="L14" s="60">
        <f>+B14+R14+S14</f>
        <v>1010785</v>
      </c>
      <c r="M14" s="99">
        <f>+L14-E14</f>
        <v>310785</v>
      </c>
      <c r="N14" s="48">
        <v>50000</v>
      </c>
      <c r="O14" s="48">
        <f>+N14/D14</f>
        <v>3030.3030303030305</v>
      </c>
      <c r="P14" s="48">
        <f>IF(C14="petrol",$C$2,$C$3)*(N14/D14)</f>
        <v>151515.15151515152</v>
      </c>
      <c r="Q14" s="48">
        <v>50000</v>
      </c>
      <c r="R14" s="48">
        <f>+B14*0.06+2725</f>
        <v>57955</v>
      </c>
      <c r="S14" s="48">
        <v>32330</v>
      </c>
      <c r="T14" s="48">
        <f>+(S14-(S14*0.15))-(S14-(S14*0.15))*0.4+1000</f>
        <v>17488.3</v>
      </c>
      <c r="U14" s="48">
        <f>+(T14-(T14*0.15))-(T14-(T14*0.15))*0.4+1000</f>
        <v>9919.0329999999994</v>
      </c>
      <c r="V14" s="48">
        <f>+(U14-(U14*0.15))-(U14-(U14*0.15))*0.4+1000</f>
        <v>6058.7068299999992</v>
      </c>
      <c r="W14" s="48">
        <f>+(V14-(V14*0.15))-(V14-(V14*0.15))*0.4+1000</f>
        <v>4089.9404832999994</v>
      </c>
      <c r="X14" s="18">
        <f>SUM(S14:W14)</f>
        <v>69885.980313299995</v>
      </c>
      <c r="Y14" s="60">
        <f>+B14+K14+P14+Q14+R14+X14</f>
        <v>1362989.2491131595</v>
      </c>
      <c r="Z14" s="48">
        <f>+B14*0.15</f>
        <v>138075</v>
      </c>
      <c r="AA14" s="48">
        <f>+(B14-Z14)*0.15</f>
        <v>117363.75</v>
      </c>
      <c r="AB14" s="48">
        <f>+(B14-(SUM(Z14,AA14)))*0.15</f>
        <v>99759.1875</v>
      </c>
      <c r="AC14" s="48">
        <f>+(B14-(SUM(Z14,AA14,AB14)))*0.15</f>
        <v>84795.309374999997</v>
      </c>
      <c r="AD14" s="48">
        <f>+(B14-(SUM(Z14,AA14,AB14,AC14)))*0.15</f>
        <v>72076.012968750001</v>
      </c>
      <c r="AE14" s="48">
        <f>SUM(Z14:AD14)</f>
        <v>512069.25984375004</v>
      </c>
      <c r="AF14" s="48">
        <f>+K14</f>
        <v>113133.11728470796</v>
      </c>
      <c r="AG14" s="48">
        <f>+P14+Q14</f>
        <v>201515.15151515152</v>
      </c>
      <c r="AH14" s="48">
        <f>+R14+X14</f>
        <v>127840.9803133</v>
      </c>
      <c r="AI14" s="11">
        <v>20</v>
      </c>
      <c r="AJ14" s="60">
        <f>(+AE14+AF14+AG14+AH14)*AI14/100</f>
        <v>190911.7017913819</v>
      </c>
      <c r="AK14" s="60">
        <f>+Y14-AJ14</f>
        <v>1172077.5473217776</v>
      </c>
      <c r="AL14" s="18">
        <f>+B14-AE14</f>
        <v>408430.74015624996</v>
      </c>
      <c r="AM14" s="52">
        <v>450000</v>
      </c>
      <c r="AN14" s="61">
        <f>AK14-AM14</f>
        <v>722077.54732177756</v>
      </c>
      <c r="AO14" s="48">
        <v>1000000</v>
      </c>
      <c r="AP14" s="48">
        <f>+AO14+AL14-AM14</f>
        <v>958430.74015625007</v>
      </c>
      <c r="AQ14" s="48">
        <f>+AP14*0.15</f>
        <v>143764.61102343749</v>
      </c>
      <c r="AR14" s="48">
        <f>+(AP14-AQ14)*0.15</f>
        <v>122199.91936992189</v>
      </c>
      <c r="AS14" s="48">
        <f>+(AP14-(SUM(AQ14,AR14)))*0.15</f>
        <v>103869.9314644336</v>
      </c>
      <c r="AT14" s="48">
        <f>+(AP14-(SUM(AQ14,AR14,AS14)))*0.15</f>
        <v>88289.44174476857</v>
      </c>
      <c r="AU14" s="48">
        <f>+(AP14-(SUM(AQ14,AR14,AS14,AT14)))*0.15</f>
        <v>75046.025483053279</v>
      </c>
      <c r="AV14" s="48">
        <f>SUM(AQ14:AU14)</f>
        <v>533169.92908561486</v>
      </c>
      <c r="AW14" s="11">
        <f>+AV14*0.2</f>
        <v>106633.98581712297</v>
      </c>
      <c r="AX14" s="48">
        <f>+AN14-AW14</f>
        <v>615443.56150465459</v>
      </c>
      <c r="AY14" s="11" t="s">
        <v>32</v>
      </c>
    </row>
    <row r="15" spans="1:51" ht="12" customHeight="1">
      <c r="A15" s="11" t="s">
        <v>57</v>
      </c>
      <c r="B15" s="48">
        <v>961887</v>
      </c>
      <c r="C15" s="48" t="s">
        <v>3</v>
      </c>
      <c r="D15" s="62">
        <v>16.5</v>
      </c>
      <c r="E15" s="48">
        <v>700000</v>
      </c>
      <c r="F15" s="11">
        <v>10</v>
      </c>
      <c r="G15" s="17">
        <f>+F15/1200</f>
        <v>8.3333333333333332E-3</v>
      </c>
      <c r="H15" s="11">
        <v>36</v>
      </c>
      <c r="I15" s="48">
        <f>+E15*(G15*((1+G15)^H15))/(((1+G15)^H15)-1)</f>
        <v>22587.031035686334</v>
      </c>
      <c r="J15" s="48">
        <f>+I15*H15</f>
        <v>813133.11728470796</v>
      </c>
      <c r="K15" s="18">
        <f>+J15-E15</f>
        <v>113133.11728470796</v>
      </c>
      <c r="L15" s="60">
        <f>+B15+R15+S15</f>
        <v>1056334.8300810386</v>
      </c>
      <c r="M15" s="99">
        <f>+L15-E15</f>
        <v>356334.83008103864</v>
      </c>
      <c r="N15" s="48">
        <v>50000</v>
      </c>
      <c r="O15" s="48">
        <f>+N15/D15</f>
        <v>3030.3030303030305</v>
      </c>
      <c r="P15" s="48">
        <f>IF(C15="petrol",$C$2,$C$3)*(N15/D15)</f>
        <v>118181.81818181819</v>
      </c>
      <c r="Q15" s="48">
        <v>50000</v>
      </c>
      <c r="R15" s="48">
        <f>+B15*0.06+2725</f>
        <v>60438.22</v>
      </c>
      <c r="S15" s="48">
        <f>+B15/28.2828</f>
        <v>34009.610081038649</v>
      </c>
      <c r="T15" s="48">
        <f>+(S15-(S15*0.15))-(S15-(S15*0.15))*0.4+1000</f>
        <v>18344.901141329712</v>
      </c>
      <c r="U15" s="48">
        <f>+(T15-(T15*0.15))-(T15-(T15*0.15))*0.4+1000</f>
        <v>10355.899582078153</v>
      </c>
      <c r="V15" s="48">
        <f>+(U15-(U15*0.15))-(U15-(U15*0.15))*0.4+1000</f>
        <v>6281.5087868598584</v>
      </c>
      <c r="W15" s="48">
        <f>+(V15-(V15*0.15))-(V15-(V15*0.15))*0.4+1000</f>
        <v>4203.5694812985275</v>
      </c>
      <c r="X15" s="18">
        <f>SUM(S15:W15)</f>
        <v>73195.489072604905</v>
      </c>
      <c r="Y15" s="60">
        <f>+B15+K15+P15+Q15+R15+X15</f>
        <v>1376835.6445391309</v>
      </c>
      <c r="Z15" s="48">
        <f>+B15*0.15</f>
        <v>144283.04999999999</v>
      </c>
      <c r="AA15" s="48">
        <f>+(B15-Z15)*0.15</f>
        <v>122640.59249999998</v>
      </c>
      <c r="AB15" s="48">
        <f>+(B15-(SUM(Z15,AA15)))*0.15</f>
        <v>104244.503625</v>
      </c>
      <c r="AC15" s="48">
        <f>+(B15-(SUM(Z15,AA15,AB15)))*0.15</f>
        <v>88607.828081250002</v>
      </c>
      <c r="AD15" s="48">
        <f>+(B15-(SUM(Z15,AA15,AB15,AC15)))*0.15</f>
        <v>75316.653869062502</v>
      </c>
      <c r="AE15" s="48">
        <f>SUM(Z15:AD15)</f>
        <v>535092.62807531247</v>
      </c>
      <c r="AF15" s="48">
        <f>+K15</f>
        <v>113133.11728470796</v>
      </c>
      <c r="AG15" s="48">
        <f>+P15+Q15</f>
        <v>168181.81818181818</v>
      </c>
      <c r="AH15" s="48">
        <f>+R15+X15</f>
        <v>133633.70907260489</v>
      </c>
      <c r="AI15" s="11">
        <v>20</v>
      </c>
      <c r="AJ15" s="60">
        <f>(+AE15+AF15+AG15+AH15)*AI15/100</f>
        <v>190008.25452288869</v>
      </c>
      <c r="AK15" s="60">
        <f>+Y15-AJ15</f>
        <v>1186827.3900162422</v>
      </c>
      <c r="AL15" s="18">
        <f>+B15-AE15</f>
        <v>426794.37192468753</v>
      </c>
      <c r="AM15" s="52">
        <v>300000</v>
      </c>
      <c r="AN15" s="61">
        <f>AK15-AM15</f>
        <v>886827.39001624216</v>
      </c>
      <c r="AO15" s="48">
        <v>1000000</v>
      </c>
      <c r="AP15" s="48">
        <f>+AO15+AL15-AM15</f>
        <v>1126794.3719246876</v>
      </c>
      <c r="AQ15" s="48">
        <f>+AP15*0.15</f>
        <v>169019.15578870315</v>
      </c>
      <c r="AR15" s="48">
        <f>+(AP15-AQ15)*0.15</f>
        <v>143666.28242039768</v>
      </c>
      <c r="AS15" s="48">
        <f>+(AP15-(SUM(AQ15,AR15)))*0.15</f>
        <v>122116.34005733801</v>
      </c>
      <c r="AT15" s="48">
        <f>+(AP15-(SUM(AQ15,AR15,AS15)))*0.15</f>
        <v>103798.88904873731</v>
      </c>
      <c r="AU15" s="48">
        <f>+(AP15-(SUM(AQ15,AR15,AS15,AT15)))*0.15</f>
        <v>88229.055691426707</v>
      </c>
      <c r="AV15" s="48">
        <f>SUM(AQ15:AU15)</f>
        <v>626829.72300660296</v>
      </c>
      <c r="AW15" s="11">
        <f>+AV15*0.2</f>
        <v>125365.9446013206</v>
      </c>
      <c r="AX15" s="48">
        <f>+AN15-AW15</f>
        <v>761461.4454149215</v>
      </c>
      <c r="AY15" s="11" t="s">
        <v>57</v>
      </c>
    </row>
    <row r="16" spans="1:51" ht="12" customHeight="1">
      <c r="A16" s="11" t="s">
        <v>58</v>
      </c>
      <c r="B16" s="48">
        <v>992500</v>
      </c>
      <c r="C16" s="48" t="s">
        <v>2</v>
      </c>
      <c r="D16" s="62">
        <v>16.100000000000001</v>
      </c>
      <c r="E16" s="48">
        <v>700000</v>
      </c>
      <c r="F16" s="11">
        <v>10</v>
      </c>
      <c r="G16" s="17">
        <f>+F16/1200</f>
        <v>8.3333333333333332E-3</v>
      </c>
      <c r="H16" s="11">
        <v>36</v>
      </c>
      <c r="I16" s="48">
        <f>+E16*(G16*((1+G16)^H16))/(((1+G16)^H16)-1)</f>
        <v>22587.031035686334</v>
      </c>
      <c r="J16" s="48">
        <f>+I16*H16</f>
        <v>813133.11728470796</v>
      </c>
      <c r="K16" s="18">
        <f>+J16-E16</f>
        <v>113133.11728470796</v>
      </c>
      <c r="L16" s="60">
        <f>+B16+R16+S16</f>
        <v>1089866.9993777138</v>
      </c>
      <c r="M16" s="99">
        <f>+L16-E16</f>
        <v>389866.99937771377</v>
      </c>
      <c r="N16" s="48">
        <v>50000</v>
      </c>
      <c r="O16" s="48">
        <f>+N16/D16</f>
        <v>3105.5900621118008</v>
      </c>
      <c r="P16" s="48">
        <f>IF(C16="petrol",$C$2,$C$3)*(N16/D16)</f>
        <v>155279.50310559003</v>
      </c>
      <c r="Q16" s="48">
        <v>50000</v>
      </c>
      <c r="R16" s="48">
        <f>+B16*0.06+2725</f>
        <v>62275</v>
      </c>
      <c r="S16" s="48">
        <f>+B16/28.2828</f>
        <v>35091.999377713662</v>
      </c>
      <c r="T16" s="48">
        <f>+(S16-(S16*0.15))-(S16-(S16*0.15))*0.4+1000</f>
        <v>18896.919682633968</v>
      </c>
      <c r="U16" s="48">
        <f>+(T16-(T16*0.15))-(T16-(T16*0.15))*0.4+1000</f>
        <v>10637.429038143324</v>
      </c>
      <c r="V16" s="48">
        <f>+(U16-(U16*0.15))-(U16-(U16*0.15))*0.4+1000</f>
        <v>6425.0888094530947</v>
      </c>
      <c r="W16" s="48">
        <f>+(V16-(V16*0.15))-(V16-(V16*0.15))*0.4+1000</f>
        <v>4276.795292821078</v>
      </c>
      <c r="X16" s="18">
        <f>SUM(S16:W16)</f>
        <v>75328.232200765124</v>
      </c>
      <c r="Y16" s="60">
        <f>+B16+K16+P16+Q16+R16+X16</f>
        <v>1448515.8525910631</v>
      </c>
      <c r="Z16" s="48">
        <f>+B16*0.15</f>
        <v>148875</v>
      </c>
      <c r="AA16" s="48">
        <f>+(B16-Z16)*0.15</f>
        <v>126543.75</v>
      </c>
      <c r="AB16" s="48">
        <f>+(B16-(SUM(Z16,AA16)))*0.15</f>
        <v>107562.1875</v>
      </c>
      <c r="AC16" s="48">
        <f>+(B16-(SUM(Z16,AA16,AB16)))*0.15</f>
        <v>91427.859375</v>
      </c>
      <c r="AD16" s="48">
        <f>+(B16-(SUM(Z16,AA16,AB16,AC16)))*0.15</f>
        <v>77713.680468749997</v>
      </c>
      <c r="AE16" s="48">
        <f>SUM(Z16:AD16)</f>
        <v>552122.47734374995</v>
      </c>
      <c r="AF16" s="48">
        <f>+K16</f>
        <v>113133.11728470796</v>
      </c>
      <c r="AG16" s="48">
        <f>+P16+Q16</f>
        <v>205279.50310559003</v>
      </c>
      <c r="AH16" s="48">
        <f>+R16+X16</f>
        <v>137603.23220076511</v>
      </c>
      <c r="AI16" s="11">
        <v>20</v>
      </c>
      <c r="AJ16" s="60">
        <f>(+AE16+AF16+AG16+AH16)*AI16/100</f>
        <v>201627.66598696262</v>
      </c>
      <c r="AK16" s="60">
        <f>+Y16-AJ16</f>
        <v>1246888.1866041005</v>
      </c>
      <c r="AL16" s="18">
        <f>+B16-AE16</f>
        <v>440377.52265625005</v>
      </c>
      <c r="AM16" s="52">
        <v>450000</v>
      </c>
      <c r="AN16" s="61">
        <f>AK16-AM16</f>
        <v>796888.18660410051</v>
      </c>
      <c r="AO16" s="48">
        <v>1000000</v>
      </c>
      <c r="AP16" s="48">
        <f>+AO16+AL16-AM16</f>
        <v>990377.52265625005</v>
      </c>
      <c r="AQ16" s="48">
        <f>+AP16*0.15</f>
        <v>148556.62839843749</v>
      </c>
      <c r="AR16" s="48">
        <f>+(AP16-AQ16)*0.15</f>
        <v>126273.13413867187</v>
      </c>
      <c r="AS16" s="48">
        <f>+(AP16-(SUM(AQ16,AR16)))*0.15</f>
        <v>107332.16401787109</v>
      </c>
      <c r="AT16" s="48">
        <f>+(AP16-(SUM(AQ16,AR16,AS16)))*0.15</f>
        <v>91232.339415190436</v>
      </c>
      <c r="AU16" s="48">
        <f>+(AP16-(SUM(AQ16,AR16,AS16,AT16)))*0.15</f>
        <v>77547.488502911874</v>
      </c>
      <c r="AV16" s="48">
        <f>SUM(AQ16:AU16)</f>
        <v>550941.75447308272</v>
      </c>
      <c r="AW16" s="11">
        <f>+AV16*0.2</f>
        <v>110188.35089461655</v>
      </c>
      <c r="AX16" s="48">
        <f>+AN16-AW16</f>
        <v>686699.83570948394</v>
      </c>
      <c r="AY16" s="11" t="s">
        <v>58</v>
      </c>
    </row>
    <row r="17" spans="1:51" ht="12" customHeight="1">
      <c r="A17" s="11" t="s">
        <v>56</v>
      </c>
      <c r="B17" s="48">
        <v>990000</v>
      </c>
      <c r="C17" s="48" t="s">
        <v>2</v>
      </c>
      <c r="D17" s="62">
        <v>13.4</v>
      </c>
      <c r="E17" s="48">
        <v>700000</v>
      </c>
      <c r="F17" s="11">
        <v>10</v>
      </c>
      <c r="G17" s="17">
        <f>+F17/1200</f>
        <v>8.3333333333333332E-3</v>
      </c>
      <c r="H17" s="11">
        <v>36</v>
      </c>
      <c r="I17" s="48">
        <f>+E17*(G17*((1+G17)^H17))/(((1+G17)^H17)-1)</f>
        <v>22587.031035686334</v>
      </c>
      <c r="J17" s="48">
        <f>+I17*H17</f>
        <v>813133.11728470796</v>
      </c>
      <c r="K17" s="18">
        <f>+J17-E17</f>
        <v>113133.11728470796</v>
      </c>
      <c r="L17" s="60">
        <f>+B17+R17+S17</f>
        <v>1090333</v>
      </c>
      <c r="M17" s="99">
        <f>+L17-E17</f>
        <v>390333</v>
      </c>
      <c r="N17" s="48">
        <v>50000</v>
      </c>
      <c r="O17" s="48">
        <f>+N17/D17</f>
        <v>3731.3432835820895</v>
      </c>
      <c r="P17" s="48">
        <f>IF(C17="petrol",$C$2,$C$3)*(N17/D17)</f>
        <v>186567.16417910447</v>
      </c>
      <c r="Q17" s="48">
        <v>50000</v>
      </c>
      <c r="R17" s="48">
        <f>+B17*0.06+2725</f>
        <v>62125</v>
      </c>
      <c r="S17" s="48">
        <v>38208</v>
      </c>
      <c r="T17" s="48">
        <f>+(S17-(S17*0.15))-(S17-(S17*0.15))*0.4+1000</f>
        <v>20486.079999999998</v>
      </c>
      <c r="U17" s="48">
        <f>+(T17-(T17*0.15))-(T17-(T17*0.15))*0.4+1000</f>
        <v>11447.900799999999</v>
      </c>
      <c r="V17" s="48">
        <f>+(U17-(U17*0.15))-(U17-(U17*0.15))*0.4+1000</f>
        <v>6838.429408</v>
      </c>
      <c r="W17" s="48">
        <f>+(V17-(V17*0.15))-(V17-(V17*0.15))*0.4+1000</f>
        <v>4487.5989980800005</v>
      </c>
      <c r="X17" s="18">
        <f>SUM(S17:W17)</f>
        <v>81468.009206079994</v>
      </c>
      <c r="Y17" s="60">
        <f>+B17+K17+P17+Q17+R17+X17</f>
        <v>1483293.2906698924</v>
      </c>
      <c r="Z17" s="48">
        <f>+B17*0.15</f>
        <v>148500</v>
      </c>
      <c r="AA17" s="48">
        <f>+(B17-Z17)*0.15</f>
        <v>126225</v>
      </c>
      <c r="AB17" s="48">
        <f>+(B17-(SUM(Z17,AA17)))*0.15</f>
        <v>107291.25</v>
      </c>
      <c r="AC17" s="48">
        <f>+(B17-(SUM(Z17,AA17,AB17)))*0.15</f>
        <v>91197.5625</v>
      </c>
      <c r="AD17" s="48">
        <f>+(B17-(SUM(Z17,AA17,AB17,AC17)))*0.15</f>
        <v>77517.928124999991</v>
      </c>
      <c r="AE17" s="48">
        <f>SUM(Z17:AD17)</f>
        <v>550731.74062499998</v>
      </c>
      <c r="AF17" s="48">
        <f>+K17</f>
        <v>113133.11728470796</v>
      </c>
      <c r="AG17" s="48">
        <f>+P17+Q17</f>
        <v>236567.16417910447</v>
      </c>
      <c r="AH17" s="48">
        <f>+R17+X17</f>
        <v>143593.00920607999</v>
      </c>
      <c r="AI17" s="11">
        <v>20</v>
      </c>
      <c r="AJ17" s="60">
        <f>(+AE17+AF17+AG17+AH17)*AI17/100</f>
        <v>208805.00625897848</v>
      </c>
      <c r="AK17" s="60">
        <f>+Y17-AJ17</f>
        <v>1274488.2844109139</v>
      </c>
      <c r="AL17" s="18">
        <f>+B17-AE17</f>
        <v>439268.25937500002</v>
      </c>
      <c r="AM17" s="52">
        <v>300000</v>
      </c>
      <c r="AN17" s="61">
        <f>AK17-AM17</f>
        <v>974488.28441091394</v>
      </c>
      <c r="AO17" s="48">
        <v>1000000</v>
      </c>
      <c r="AP17" s="48">
        <f>+AO17+AL17-AM17</f>
        <v>1139268.2593749999</v>
      </c>
      <c r="AQ17" s="48">
        <f>+AP17*0.15</f>
        <v>170890.23890624999</v>
      </c>
      <c r="AR17" s="48">
        <f>+(AP17-AQ17)*0.15</f>
        <v>145256.70307031248</v>
      </c>
      <c r="AS17" s="48">
        <f>+(AP17-(SUM(AQ17,AR17)))*0.15</f>
        <v>123468.1976097656</v>
      </c>
      <c r="AT17" s="48">
        <f>+(AP17-(SUM(AQ17,AR17,AS17)))*0.15</f>
        <v>104947.96796830077</v>
      </c>
      <c r="AU17" s="48">
        <f>+(AP17-(SUM(AQ17,AR17,AS17,AT17)))*0.15</f>
        <v>89205.772773055651</v>
      </c>
      <c r="AV17" s="48">
        <f>SUM(AQ17:AU17)</f>
        <v>633768.88032768457</v>
      </c>
      <c r="AW17" s="11">
        <f>+AV17*0.2</f>
        <v>126753.77606553692</v>
      </c>
      <c r="AX17" s="48">
        <f>+AN17-AW17</f>
        <v>847734.50834537705</v>
      </c>
      <c r="AY17" s="11" t="s">
        <v>56</v>
      </c>
    </row>
    <row r="18" spans="1:51" ht="12" customHeight="1">
      <c r="S18" s="54"/>
    </row>
    <row r="19" spans="1:51" ht="12" customHeight="1">
      <c r="S19" s="54"/>
    </row>
    <row r="20" spans="1:51">
      <c r="S20" s="54"/>
    </row>
    <row r="21" spans="1:51">
      <c r="S21" s="54"/>
    </row>
    <row r="22" spans="1:51">
      <c r="S22" s="54"/>
    </row>
    <row r="23" spans="1:51">
      <c r="S23" s="54"/>
    </row>
    <row r="24" spans="1:51">
      <c r="S24" s="54"/>
    </row>
    <row r="25" spans="1:51">
      <c r="S25" s="54"/>
    </row>
  </sheetData>
  <sortState ref="A6:BB17">
    <sortCondition ref="L6:L17"/>
  </sortState>
  <mergeCells count="8">
    <mergeCell ref="AM3:AN3"/>
    <mergeCell ref="A4:D4"/>
    <mergeCell ref="E4:K4"/>
    <mergeCell ref="AE4:AJ4"/>
    <mergeCell ref="N2:P2"/>
    <mergeCell ref="N3:X3"/>
    <mergeCell ref="AE3:AL3"/>
    <mergeCell ref="N4:P4"/>
  </mergeCells>
  <conditionalFormatting sqref="Y1:Y1048576">
    <cfRule type="colorScale" priority="34">
      <colorScale>
        <cfvo type="min" val="0"/>
        <cfvo type="max" val="0"/>
        <color rgb="FFAFDC7E"/>
        <color theme="9"/>
      </colorScale>
    </cfRule>
  </conditionalFormatting>
  <conditionalFormatting sqref="AK1:AK1048576">
    <cfRule type="colorScale" priority="32">
      <colorScale>
        <cfvo type="min" val="0"/>
        <cfvo type="max" val="0"/>
        <color rgb="FFAFDC7E"/>
        <color theme="9"/>
      </colorScale>
    </cfRule>
  </conditionalFormatting>
  <conditionalFormatting sqref="AM1:AM1048576">
    <cfRule type="colorScale" priority="30">
      <colorScale>
        <cfvo type="min" val="0"/>
        <cfvo type="max" val="0"/>
        <color theme="9"/>
        <color rgb="FFAFDC7E"/>
      </colorScale>
    </cfRule>
  </conditionalFormatting>
  <conditionalFormatting sqref="AN1:AN1048576">
    <cfRule type="colorScale" priority="29">
      <colorScale>
        <cfvo type="min" val="0"/>
        <cfvo type="max" val="0"/>
        <color rgb="FFAFDC7E"/>
        <color theme="9"/>
      </colorScale>
    </cfRule>
  </conditionalFormatting>
  <conditionalFormatting sqref="P6:P17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colorScale" priority="85">
      <colorScale>
        <cfvo type="min" val="0"/>
        <cfvo type="max" val="0"/>
        <color rgb="FF63BE7B"/>
        <color rgb="FFFFEF9C"/>
      </colorScale>
    </cfRule>
  </conditionalFormatting>
  <conditionalFormatting sqref="Y6:Y1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colorScale" priority="87">
      <colorScale>
        <cfvo type="min" val="0"/>
        <cfvo type="max" val="0"/>
        <color rgb="FFFFEF9C"/>
        <color rgb="FFFF7128"/>
      </colorScale>
    </cfRule>
  </conditionalFormatting>
  <conditionalFormatting sqref="B6:B17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colorScale" priority="88">
      <colorScale>
        <cfvo type="min" val="0"/>
        <cfvo type="max" val="0"/>
        <color rgb="FFFFEF9C"/>
        <color rgb="FFFF7128"/>
      </colorScale>
    </cfRule>
  </conditionalFormatting>
  <conditionalFormatting sqref="L6:L1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colorScale" priority="89">
      <colorScale>
        <cfvo type="min" val="0"/>
        <cfvo type="max" val="0"/>
        <color rgb="FFFFEF9C"/>
        <color rgb="FFFF7128"/>
      </colorScale>
    </cfRule>
  </conditionalFormatting>
  <conditionalFormatting sqref="AK6:AK17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colorScale" priority="91">
      <colorScale>
        <cfvo type="min" val="0"/>
        <cfvo type="max" val="0"/>
        <color rgb="FFFFEF9C"/>
        <color rgb="FFFF7128"/>
      </colorScale>
    </cfRule>
  </conditionalFormatting>
  <conditionalFormatting sqref="AM6:AM17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:D17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N6:AN17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6:O17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J6:AJ17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96">
      <colorScale>
        <cfvo type="min" val="0"/>
        <cfvo type="max" val="0"/>
        <color rgb="FFFFEF9C"/>
        <color rgb="FF63BE7B"/>
      </colorScale>
    </cfRule>
  </conditionalFormatting>
  <conditionalFormatting sqref="AX6:AX17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W6:AW17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6:M1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C15 C6">
      <formula1>$B$2:$B$3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3" sqref="H3"/>
    </sheetView>
  </sheetViews>
  <sheetFormatPr defaultRowHeight="10.199999999999999"/>
  <cols>
    <col min="1" max="1" width="8.88671875" style="1"/>
    <col min="2" max="2" width="8.88671875" style="3"/>
    <col min="3" max="4" width="8.88671875" style="2"/>
    <col min="5" max="5" width="16.109375" style="4" bestFit="1" customWidth="1"/>
    <col min="6" max="8" width="8.88671875" style="2"/>
    <col min="9" max="9" width="8.88671875" style="4"/>
    <col min="10" max="10" width="8.88671875" style="2"/>
    <col min="11" max="16" width="8.88671875" style="1"/>
    <col min="17" max="17" width="16.109375" style="1" bestFit="1" customWidth="1"/>
    <col min="18" max="16384" width="8.88671875" style="1"/>
  </cols>
  <sheetData>
    <row r="1" spans="1:10">
      <c r="A1" s="5"/>
      <c r="B1" s="5" t="s">
        <v>2</v>
      </c>
      <c r="C1" s="5" t="s">
        <v>3</v>
      </c>
      <c r="D1" s="5"/>
      <c r="E1" s="5"/>
      <c r="F1" s="5"/>
      <c r="G1" s="1"/>
      <c r="H1" s="1"/>
      <c r="I1" s="1"/>
      <c r="J1" s="1"/>
    </row>
    <row r="2" spans="1:10">
      <c r="A2" s="3" t="s">
        <v>4</v>
      </c>
      <c r="B2" s="1">
        <v>50</v>
      </c>
      <c r="C2" s="1">
        <v>39</v>
      </c>
      <c r="D2" s="1"/>
      <c r="E2" s="1"/>
      <c r="F2" s="1"/>
      <c r="G2" s="1"/>
      <c r="H2" s="1"/>
      <c r="I2" s="1"/>
      <c r="J2" s="1"/>
    </row>
    <row r="3" spans="1:10">
      <c r="A3" s="3" t="s">
        <v>5</v>
      </c>
      <c r="B3" s="1">
        <v>14</v>
      </c>
      <c r="C3" s="1">
        <v>18</v>
      </c>
      <c r="D3" s="1"/>
      <c r="E3" s="1"/>
      <c r="F3" s="1"/>
      <c r="G3" s="1"/>
      <c r="H3" s="1"/>
      <c r="I3" s="1"/>
      <c r="J3" s="1"/>
    </row>
    <row r="4" spans="1:10" s="5" customFormat="1">
      <c r="A4" s="2">
        <v>1000</v>
      </c>
      <c r="B4" s="2">
        <f>+B$2*(A4/B$3)</f>
        <v>3571.4285714285716</v>
      </c>
      <c r="C4" s="2">
        <f>+C$2*(A4/C$3)</f>
        <v>2166.6666666666665</v>
      </c>
      <c r="D4" s="2">
        <f>+B4-C4</f>
        <v>1404.761904761905</v>
      </c>
      <c r="E4" s="1"/>
      <c r="F4" s="1"/>
    </row>
    <row r="5" spans="1:10" s="5" customFormat="1">
      <c r="A5" s="2">
        <v>5000</v>
      </c>
      <c r="B5" s="2">
        <f>+B$2*(A5/B$3)</f>
        <v>17857.142857142859</v>
      </c>
      <c r="C5" s="2">
        <f>+C$2*(A5/C$3)</f>
        <v>10833.333333333334</v>
      </c>
      <c r="D5" s="2">
        <f>+B5-C5</f>
        <v>7023.8095238095248</v>
      </c>
      <c r="E5" s="1"/>
      <c r="F5" s="1"/>
    </row>
    <row r="6" spans="1:10">
      <c r="A6" s="2">
        <v>10000</v>
      </c>
      <c r="B6" s="2">
        <f>+B$2*(A6/B$3)</f>
        <v>35714.285714285717</v>
      </c>
      <c r="C6" s="2">
        <f>+C$2*(A6/C$3)</f>
        <v>21666.666666666668</v>
      </c>
      <c r="D6" s="2">
        <f>+B6-C6</f>
        <v>14047.61904761905</v>
      </c>
      <c r="E6" s="1"/>
      <c r="F6" s="1"/>
      <c r="G6" s="1"/>
      <c r="H6" s="1"/>
      <c r="I6" s="1"/>
      <c r="J6" s="1"/>
    </row>
    <row r="7" spans="1:10">
      <c r="A7" s="2">
        <v>20000</v>
      </c>
      <c r="B7" s="2">
        <f t="shared" ref="B7:B15" si="0">+B$2*(A7/B$3)</f>
        <v>71428.571428571435</v>
      </c>
      <c r="C7" s="2">
        <f t="shared" ref="C7:C15" si="1">+C$2*(A7/C$3)</f>
        <v>43333.333333333336</v>
      </c>
      <c r="D7" s="2">
        <f t="shared" ref="D7:D15" si="2">+B7-C7</f>
        <v>28095.238095238099</v>
      </c>
      <c r="E7" s="1"/>
      <c r="F7" s="1"/>
      <c r="G7" s="1"/>
      <c r="H7" s="1"/>
      <c r="I7" s="1"/>
      <c r="J7" s="1"/>
    </row>
    <row r="8" spans="1:10">
      <c r="A8" s="2">
        <v>30000</v>
      </c>
      <c r="B8" s="2">
        <f t="shared" si="0"/>
        <v>107142.85714285713</v>
      </c>
      <c r="C8" s="2">
        <f t="shared" si="1"/>
        <v>65000</v>
      </c>
      <c r="D8" s="2">
        <f t="shared" si="2"/>
        <v>42142.85714285713</v>
      </c>
      <c r="E8" s="1"/>
      <c r="F8" s="1"/>
      <c r="G8" s="1"/>
      <c r="H8" s="1"/>
      <c r="I8" s="1"/>
      <c r="J8" s="1"/>
    </row>
    <row r="9" spans="1:10">
      <c r="A9" s="2">
        <v>40000</v>
      </c>
      <c r="B9" s="2">
        <f t="shared" si="0"/>
        <v>142857.14285714287</v>
      </c>
      <c r="C9" s="2">
        <f t="shared" si="1"/>
        <v>86666.666666666672</v>
      </c>
      <c r="D9" s="2">
        <f t="shared" si="2"/>
        <v>56190.476190476198</v>
      </c>
      <c r="E9" s="1"/>
      <c r="F9" s="1"/>
      <c r="G9" s="1"/>
      <c r="H9" s="1"/>
      <c r="I9" s="1"/>
      <c r="J9" s="1"/>
    </row>
    <row r="10" spans="1:10">
      <c r="A10" s="2">
        <v>50000</v>
      </c>
      <c r="B10" s="2">
        <f t="shared" si="0"/>
        <v>178571.42857142858</v>
      </c>
      <c r="C10" s="2">
        <f t="shared" si="1"/>
        <v>108333.33333333333</v>
      </c>
      <c r="D10" s="2">
        <f t="shared" si="2"/>
        <v>70238.095238095251</v>
      </c>
      <c r="E10" s="1"/>
      <c r="F10" s="1"/>
      <c r="G10" s="1"/>
      <c r="H10" s="1"/>
      <c r="I10" s="1"/>
      <c r="J10" s="1"/>
    </row>
    <row r="11" spans="1:10">
      <c r="A11" s="105">
        <v>60000</v>
      </c>
      <c r="B11" s="105">
        <f t="shared" si="0"/>
        <v>214285.71428571426</v>
      </c>
      <c r="C11" s="105">
        <f t="shared" si="1"/>
        <v>130000</v>
      </c>
      <c r="D11" s="105">
        <f t="shared" si="2"/>
        <v>84285.714285714261</v>
      </c>
      <c r="E11" s="106"/>
      <c r="F11" s="1"/>
      <c r="G11" s="1"/>
      <c r="H11" s="1"/>
      <c r="I11" s="1"/>
      <c r="J11" s="1"/>
    </row>
    <row r="12" spans="1:10">
      <c r="A12" s="102">
        <v>70000</v>
      </c>
      <c r="B12" s="105">
        <f t="shared" si="0"/>
        <v>250000</v>
      </c>
      <c r="C12" s="105">
        <f t="shared" si="1"/>
        <v>151666.66666666666</v>
      </c>
      <c r="D12" s="102">
        <f t="shared" si="2"/>
        <v>98333.333333333343</v>
      </c>
      <c r="E12" s="107" t="s">
        <v>80</v>
      </c>
      <c r="F12" s="1"/>
      <c r="G12" s="1"/>
      <c r="H12" s="1"/>
      <c r="I12" s="1"/>
      <c r="J12" s="1"/>
    </row>
    <row r="13" spans="1:10">
      <c r="A13" s="2">
        <v>80000</v>
      </c>
      <c r="B13" s="2">
        <f t="shared" si="0"/>
        <v>285714.28571428574</v>
      </c>
      <c r="C13" s="2">
        <f t="shared" si="1"/>
        <v>173333.33333333334</v>
      </c>
      <c r="D13" s="2">
        <f t="shared" si="2"/>
        <v>112380.9523809524</v>
      </c>
      <c r="E13" s="1"/>
      <c r="F13" s="1"/>
      <c r="G13" s="1"/>
      <c r="H13" s="1"/>
      <c r="I13" s="1"/>
      <c r="J13" s="1"/>
    </row>
    <row r="14" spans="1:10">
      <c r="A14" s="2">
        <v>90000</v>
      </c>
      <c r="B14" s="2">
        <f t="shared" si="0"/>
        <v>321428.57142857142</v>
      </c>
      <c r="C14" s="2">
        <f t="shared" si="1"/>
        <v>195000</v>
      </c>
      <c r="D14" s="2">
        <f t="shared" si="2"/>
        <v>126428.57142857142</v>
      </c>
      <c r="E14" s="1"/>
      <c r="F14" s="1"/>
      <c r="G14" s="1"/>
      <c r="H14" s="1"/>
      <c r="I14" s="1"/>
      <c r="J14" s="1"/>
    </row>
    <row r="15" spans="1:10">
      <c r="A15" s="104">
        <v>100000</v>
      </c>
      <c r="B15" s="2">
        <f t="shared" si="0"/>
        <v>357142.85714285716</v>
      </c>
      <c r="C15" s="2">
        <f t="shared" si="1"/>
        <v>216666.66666666666</v>
      </c>
      <c r="D15" s="2">
        <f t="shared" si="2"/>
        <v>140476.1904761905</v>
      </c>
      <c r="E15" s="103" t="s">
        <v>79</v>
      </c>
      <c r="F15" s="1"/>
      <c r="G15" s="1"/>
      <c r="H15" s="1"/>
      <c r="I15" s="1"/>
      <c r="J15" s="1"/>
    </row>
    <row r="16" spans="1:10">
      <c r="B16" s="1"/>
      <c r="C16" s="1"/>
      <c r="D16" s="1"/>
      <c r="E16" s="1"/>
      <c r="F16" s="1"/>
      <c r="G16" s="1"/>
      <c r="H16" s="1"/>
      <c r="I16" s="1"/>
      <c r="J16" s="1"/>
    </row>
    <row r="17" spans="7:10">
      <c r="G17" s="1"/>
      <c r="H17" s="1"/>
      <c r="I17" s="1"/>
      <c r="J17" s="1"/>
    </row>
    <row r="18" spans="7:10">
      <c r="G18" s="1"/>
      <c r="H18" s="1"/>
      <c r="I18" s="1"/>
      <c r="J18" s="1"/>
    </row>
    <row r="19" spans="7:10">
      <c r="G19" s="1"/>
      <c r="H19" s="1"/>
      <c r="I19" s="1"/>
      <c r="J19" s="1"/>
    </row>
    <row r="20" spans="7:10">
      <c r="G20" s="1"/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TCO</vt:lpstr>
      <vt:lpstr>petrol-diesel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2010-04-26T05:21:09Z</dcterms:created>
  <dcterms:modified xsi:type="dcterms:W3CDTF">2010-05-25T11:44:07Z</dcterms:modified>
</cp:coreProperties>
</file>